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91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J23" i="1"/>
  <c r="J24" i="1"/>
  <c r="J25" i="1"/>
  <c r="J17" i="1" l="1"/>
  <c r="J18" i="1"/>
  <c r="J19" i="1"/>
  <c r="J20" i="1"/>
  <c r="J21" i="1"/>
  <c r="J16" i="1"/>
  <c r="B28" i="1" l="1"/>
  <c r="E2" i="1" s="1"/>
  <c r="D60" i="1"/>
  <c r="D54" i="1"/>
  <c r="H7" i="1" l="1"/>
  <c r="H8" i="1"/>
  <c r="A11" i="1"/>
  <c r="C8" i="1" l="1"/>
  <c r="F3" i="1" l="1"/>
  <c r="D6" i="1"/>
  <c r="B10" i="1" l="1"/>
  <c r="B11" i="1"/>
  <c r="D22" i="1" l="1"/>
  <c r="D23" i="1"/>
  <c r="D24" i="1"/>
  <c r="D25" i="1"/>
  <c r="E22" i="1"/>
  <c r="E23" i="1"/>
  <c r="E24" i="1"/>
  <c r="E25" i="1"/>
  <c r="D21" i="1"/>
  <c r="E21" i="1"/>
  <c r="C9" i="1"/>
  <c r="C11" i="1"/>
  <c r="D20" i="1"/>
  <c r="D19" i="1"/>
  <c r="E19" i="1"/>
  <c r="E20" i="1"/>
  <c r="E16" i="1"/>
  <c r="E18" i="1"/>
  <c r="E17" i="1"/>
  <c r="C10" i="1"/>
  <c r="E15" i="1"/>
  <c r="C35" i="1"/>
  <c r="C34" i="1"/>
  <c r="C33" i="1"/>
  <c r="A10" i="1"/>
  <c r="F25" i="1" l="1"/>
  <c r="K25" i="1" s="1"/>
  <c r="F23" i="1"/>
  <c r="K23" i="1" s="1"/>
  <c r="F21" i="1"/>
  <c r="F24" i="1"/>
  <c r="K24" i="1" s="1"/>
  <c r="F22" i="1"/>
  <c r="K22" i="1" s="1"/>
  <c r="F19" i="1"/>
  <c r="F20" i="1"/>
  <c r="F15" i="1"/>
  <c r="D18" i="1"/>
  <c r="F18" i="1" s="1"/>
  <c r="O24" i="1" l="1"/>
  <c r="O23" i="1"/>
  <c r="O22" i="1"/>
  <c r="O25" i="1"/>
  <c r="D4" i="1"/>
  <c r="D3" i="1"/>
  <c r="D2" i="1"/>
  <c r="J15" i="1"/>
  <c r="B7" i="1"/>
  <c r="C45" i="1"/>
  <c r="A45" i="1"/>
  <c r="D5" i="1" s="1"/>
  <c r="A7" i="1"/>
  <c r="D17" i="1"/>
  <c r="F17" i="1" s="1"/>
  <c r="D16" i="1"/>
  <c r="F16" i="1" s="1"/>
  <c r="I22" i="1" l="1"/>
  <c r="I25" i="1"/>
  <c r="I23" i="1"/>
  <c r="I24" i="1"/>
  <c r="D35" i="1"/>
  <c r="D34" i="1"/>
  <c r="D26" i="1"/>
  <c r="B47" i="1" s="1"/>
  <c r="K21" i="1" l="1"/>
  <c r="O21" i="1" s="1"/>
  <c r="B45" i="1"/>
  <c r="E5" i="1" s="1"/>
  <c r="E11" i="1" l="1"/>
  <c r="B50" i="1"/>
  <c r="E12" i="1" s="1"/>
  <c r="B51" i="1"/>
  <c r="F12" i="1" s="1"/>
  <c r="K15" i="1" l="1"/>
  <c r="K19" i="1" l="1"/>
  <c r="O19" i="1" s="1"/>
  <c r="K17" i="1"/>
  <c r="O17" i="1" s="1"/>
  <c r="I16" i="1"/>
  <c r="I17" i="1"/>
  <c r="K16" i="1"/>
  <c r="N16" i="1" l="1"/>
  <c r="O16" i="1"/>
  <c r="N17" i="1"/>
  <c r="I19" i="1"/>
  <c r="I18" i="1"/>
  <c r="K18" i="1"/>
  <c r="O18" i="1" l="1"/>
  <c r="N19" i="1"/>
  <c r="N18" i="1"/>
  <c r="I20" i="1"/>
  <c r="I21" i="1"/>
  <c r="B44" i="1"/>
  <c r="E4" i="1" s="1"/>
  <c r="B32" i="1"/>
  <c r="G15" i="1"/>
  <c r="G16" i="1" s="1"/>
  <c r="K20" i="1"/>
  <c r="N21" i="1" s="1"/>
  <c r="I26" i="1"/>
  <c r="B39" i="1" s="1"/>
  <c r="E8" i="1" s="1"/>
  <c r="F26" i="1"/>
  <c r="N23" i="1" l="1"/>
  <c r="N22" i="1"/>
  <c r="N25" i="1"/>
  <c r="N24" i="1"/>
  <c r="N26" i="1"/>
  <c r="B40" i="1" s="1"/>
  <c r="E7" i="1" s="1"/>
  <c r="H16" i="1"/>
  <c r="G17" i="1"/>
  <c r="N20" i="1"/>
  <c r="K26" i="1"/>
  <c r="D33" i="1" s="1"/>
  <c r="H15" i="1"/>
  <c r="E3" i="1"/>
  <c r="B37" i="1"/>
  <c r="E6" i="1" s="1"/>
  <c r="L15" i="1"/>
  <c r="O20" i="1"/>
  <c r="O26" i="1" s="1"/>
  <c r="B42" i="1"/>
  <c r="G3" i="1" s="1"/>
  <c r="M15" i="1" l="1"/>
  <c r="L16" i="1"/>
  <c r="H17" i="1"/>
  <c r="G18" i="1"/>
  <c r="H18" i="1" l="1"/>
  <c r="G19" i="1"/>
  <c r="L17" i="1"/>
  <c r="M16" i="1"/>
  <c r="G20" i="1" l="1"/>
  <c r="H19" i="1"/>
  <c r="M17" i="1"/>
  <c r="L18" i="1"/>
  <c r="L19" i="1" l="1"/>
  <c r="M18" i="1"/>
  <c r="G21" i="1"/>
  <c r="G22" i="1" s="1"/>
  <c r="H20" i="1"/>
  <c r="B54" i="1"/>
  <c r="H22" i="1" l="1"/>
  <c r="G23" i="1"/>
  <c r="E9" i="1"/>
  <c r="C54" i="1"/>
  <c r="B57" i="1"/>
  <c r="B56" i="1"/>
  <c r="C56" i="1" s="1"/>
  <c r="C57" i="1"/>
  <c r="D57" i="1"/>
  <c r="F57" i="1" s="1"/>
  <c r="G57" i="1" s="1"/>
  <c r="H21" i="1"/>
  <c r="M19" i="1"/>
  <c r="L20" i="1"/>
  <c r="H23" i="1" l="1"/>
  <c r="G24" i="1"/>
  <c r="E57" i="1"/>
  <c r="B55" i="1" s="1"/>
  <c r="F9" i="1" s="1"/>
  <c r="M20" i="1"/>
  <c r="L21" i="1"/>
  <c r="L22" i="1" s="1"/>
  <c r="B60" i="1"/>
  <c r="H24" i="1" l="1"/>
  <c r="G25" i="1"/>
  <c r="H25" i="1" s="1"/>
  <c r="M22" i="1"/>
  <c r="L23" i="1"/>
  <c r="C60" i="1"/>
  <c r="D63" i="1"/>
  <c r="B62" i="1"/>
  <c r="C62" i="1" s="1"/>
  <c r="F63" i="1"/>
  <c r="G63" i="1" s="1"/>
  <c r="E63" i="1"/>
  <c r="B63" i="1"/>
  <c r="C63" i="1" s="1"/>
  <c r="E10" i="1"/>
  <c r="M21" i="1"/>
  <c r="L24" i="1" l="1"/>
  <c r="M23" i="1"/>
  <c r="B61" i="1"/>
  <c r="F10" i="1" s="1"/>
  <c r="M24" i="1" l="1"/>
  <c r="L25" i="1"/>
  <c r="M25" i="1" s="1"/>
</calcChain>
</file>

<file path=xl/comments1.xml><?xml version="1.0" encoding="utf-8"?>
<comments xmlns="http://schemas.openxmlformats.org/spreadsheetml/2006/main">
  <authors>
    <author>Admin</author>
  </authors>
  <commentList>
    <comment ref="D2" authorId="0">
      <text>
        <r>
          <rPr>
            <b/>
            <sz val="8"/>
            <color indexed="81"/>
            <rFont val="Tahoma"/>
            <family val="2"/>
            <charset val="204"/>
          </rPr>
          <t>(срок проекта, лет)</t>
        </r>
      </text>
    </comment>
    <comment ref="F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(влияет на PP и DPP, когда расписывается по дням. А также в случае, когда учитываются даты платежей, влияет на точность срока проекта, и как следствие, на PN, и как следствие на ARR. Не влияет: на NPV, IRR, PI, DPI, т.к. при учёте дат берётся формула Excel для расчёта NPV и IRR, в которой по умолчанию всегда указано 365 дней, а если даты не учитываются, то указанное количество не влияет на них совсем.) 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04"/>
          </rPr>
          <t>(Чистый дисконтированный доход (ЧДД), или Чистая текущая стоимость, или Чистая приведённая стоимость)</t>
        </r>
      </text>
    </commen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(Внутренняя норма доходности (ВНД), или Внутренняя норма прибыли)</t>
        </r>
      </text>
    </comment>
    <comment ref="D5" authorId="0">
      <text>
        <r>
          <rPr>
            <b/>
            <sz val="8"/>
            <color indexed="81"/>
            <rFont val="Tahoma"/>
            <family val="2"/>
            <charset val="204"/>
          </rPr>
          <t>(Модифицированная внутренняя норма доходности (МВНД), учитывает ставку реинвестирования, не учитывает даты платежей)</t>
        </r>
      </text>
    </comment>
    <comment ref="D6" authorId="0">
      <text>
        <r>
          <rPr>
            <b/>
            <sz val="8"/>
            <color indexed="81"/>
            <rFont val="Tahoma"/>
            <family val="2"/>
            <charset val="204"/>
          </rPr>
          <t>(дисконтированный индекс рентабельности)</t>
        </r>
      </text>
    </comment>
    <comment ref="D7" authorId="0">
      <text>
        <r>
          <rPr>
            <b/>
            <sz val="8"/>
            <color indexed="81"/>
            <rFont val="Tahoma"/>
            <family val="2"/>
            <charset val="204"/>
          </rPr>
          <t>(дисконтированная окупаемость инвестиций)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Если ликвидационная стоимость не дана, то значение должно быть 0.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(или ROR, окупаемость инвестиций, или рентабельность инвестиций)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(срок окупаемости, или PBP)
</t>
        </r>
      </text>
    </comment>
    <comment ref="D10" authorId="0">
      <text>
        <r>
          <rPr>
            <b/>
            <sz val="8"/>
            <color indexed="81"/>
            <rFont val="Tahoma"/>
            <family val="2"/>
            <charset val="204"/>
          </rPr>
          <t>(дисконтированный срок окупаемости, или DPBP)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(среднегодовая чистая прибыль (без учёта инвестиций и процентной ставки, с вычетом оттоков))</t>
        </r>
      </text>
    </commen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Внимание! Для правильной работы шаблона-калькулятора удаляйте целые строки с лишними периодами, а не ячейки!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(Расчётная норма прибыли, или Коэффициент эффективности, или Учётная норма прибыли (УНП), или Учётная норма доходности, или Расчётная рентабельность, или Учётная доходность, или Средневзвешенная (бухгалтерская) ставка рентабельности)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(рассчитывается исходя из средней прибыли и суммы всех инвестиций с учётом ликвидационной стоимости в случае её наличия)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(рассчитывается исходя из средней прибыли и суммы всех инвестиций с учётом ликвидационной стоимости (вычисляется половинная их стоимость даже если и нет ликвидационной стоимости))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Ответьте в начале листа на вопрос "платёж с одинаковыми денежными потоками в каждом периоде или нет". Если да, то достаточно заполнить табличку исходных данных под вопросами.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Внимание! Для правильной работы шаблона-калькулятора удаляйте целые строки с лишними периодами, а не ячейки! 
Удалить лишние строки обязательно!!!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расчёт производится без дат, то выберите в первой ячейке листа "не учитывать даты платежей", в итоге они влиять не будут. Иначе напротив каждого периода указывается дата конца периода. 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Если исходные данные известны в Cash Flow, то можно сразу приступить к заполнению этого столбца, пропустив столбцы с притоками, инвестициями и оттоками).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Не удалять столбец! Это для расчёта PP (срока окупаемости. Все дополнительные инвестиции за вычетом прибыли от проекта сразу суммируются в инвестиционный период)</t>
        </r>
      </text>
    </comment>
    <comment ref="L14" authorId="0">
      <text>
        <r>
          <rPr>
            <b/>
            <sz val="8"/>
            <color indexed="81"/>
            <rFont val="Tahoma"/>
            <family val="2"/>
            <charset val="204"/>
          </rPr>
          <t>Не удалять столбец! Это для расчёта DPP (дисконтированного срока окупаемости. Все дополнительные инвестиции за вычетом прибыли от проекта сразу суммируются в инвестиционный период)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>Дата старта проекта
(не прединвестиционного этапа, а уже начало реализации).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Прединвестиционные затраты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Дата конца первого периода (она же и дата платежа, т.е. день, когда, например, появляются первые притоки от проекта в случае их наличия)</t>
        </r>
      </text>
    </comment>
  </commentList>
</comments>
</file>

<file path=xl/sharedStrings.xml><?xml version="1.0" encoding="utf-8"?>
<sst xmlns="http://schemas.openxmlformats.org/spreadsheetml/2006/main" count="89" uniqueCount="77">
  <si>
    <t>NPV=</t>
  </si>
  <si>
    <t>IRR=</t>
  </si>
  <si>
    <r>
      <t>(через Excel-формулу ЧПС, через расчёт CF</t>
    </r>
    <r>
      <rPr>
        <sz val="10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>)</t>
    </r>
  </si>
  <si>
    <t>Исходные данные:</t>
  </si>
  <si>
    <t>i (ставка дисконтирования) =</t>
  </si>
  <si>
    <t xml:space="preserve"> </t>
  </si>
  <si>
    <r>
      <t xml:space="preserve">(через ручную формулу, </t>
    </r>
    <r>
      <rPr>
        <b/>
        <sz val="11"/>
        <color theme="1"/>
        <rFont val="Calibri"/>
        <family val="2"/>
        <charset val="204"/>
        <scheme val="minor"/>
      </rPr>
      <t>только для аннуитетных платежей</t>
    </r>
    <r>
      <rPr>
        <sz val="11"/>
        <color theme="1"/>
        <rFont val="Calibri"/>
        <family val="2"/>
        <charset val="204"/>
        <scheme val="minor"/>
      </rPr>
      <t>, т.е. для одинаковых платежей через равные промежутки времени)</t>
    </r>
  </si>
  <si>
    <r>
      <t xml:space="preserve">(через Excel-формулу ПС, </t>
    </r>
    <r>
      <rPr>
        <b/>
        <sz val="11"/>
        <color theme="1"/>
        <rFont val="Calibri"/>
        <family val="2"/>
        <charset val="204"/>
        <scheme val="minor"/>
      </rPr>
      <t>только для аннуитетных платежей</t>
    </r>
    <r>
      <rPr>
        <sz val="11"/>
        <color theme="1"/>
        <rFont val="Calibri"/>
        <family val="2"/>
        <charset val="204"/>
        <scheme val="minor"/>
      </rPr>
      <t>, т.е. для одинаковых платежей через равные промежутки времени)</t>
    </r>
  </si>
  <si>
    <t>(Чистый дисконтированный доход (ЧДД), или Чистая текущая стоимость, или Чистая приведённая стоимость)</t>
  </si>
  <si>
    <t>Коэффициент дисконтирования</t>
  </si>
  <si>
    <t>Оттоки денежных средств</t>
  </si>
  <si>
    <t>Притоки денежных средств</t>
  </si>
  <si>
    <r>
      <t>CF</t>
    </r>
    <r>
      <rPr>
        <sz val="10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 xml:space="preserve">
(Cash Flow,
денежный поток)</t>
    </r>
  </si>
  <si>
    <r>
      <t>PV</t>
    </r>
    <r>
      <rPr>
        <sz val="10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 xml:space="preserve">
(Present Value,
дисконтированная стоимость,
</t>
    </r>
    <r>
      <rPr>
        <sz val="8"/>
        <color theme="1"/>
        <rFont val="Calibri"/>
        <family val="2"/>
        <charset val="204"/>
        <scheme val="minor"/>
      </rPr>
      <t>или текущая стоимость,
или приведённая стоимость)</t>
    </r>
  </si>
  <si>
    <t>Дата платежей</t>
  </si>
  <si>
    <t>да</t>
  </si>
  <si>
    <t>нет</t>
  </si>
  <si>
    <t>Учитывать даты платежей?</t>
  </si>
  <si>
    <r>
      <t>Учитывать ставку реинвестирования</t>
    </r>
    <r>
      <rPr>
        <sz val="10"/>
        <color theme="1"/>
        <rFont val="Calibri"/>
        <family val="2"/>
        <charset val="204"/>
        <scheme val="minor"/>
      </rPr>
      <t xml:space="preserve"> (для MIRR)</t>
    </r>
    <r>
      <rPr>
        <sz val="11"/>
        <color theme="1"/>
        <rFont val="Calibri"/>
        <family val="2"/>
        <charset val="204"/>
        <scheme val="minor"/>
      </rPr>
      <t>?</t>
    </r>
  </si>
  <si>
    <t>Суммы:</t>
  </si>
  <si>
    <t>PP=</t>
  </si>
  <si>
    <t>t
(№ периода)</t>
  </si>
  <si>
    <t xml:space="preserve">числовое значение: </t>
  </si>
  <si>
    <t xml:space="preserve">в днях: </t>
  </si>
  <si>
    <t xml:space="preserve">обычным в раздельных ячейках: </t>
  </si>
  <si>
    <t xml:space="preserve">обычным текстом: </t>
  </si>
  <si>
    <t>DPP=</t>
  </si>
  <si>
    <r>
      <t>№ периодов после срока окупаемости (для CF</t>
    </r>
    <r>
      <rPr>
        <sz val="10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>)</t>
    </r>
  </si>
  <si>
    <r>
      <t>№ периодов после срока окупаемости (для NPV</t>
    </r>
    <r>
      <rPr>
        <sz val="10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>)</t>
    </r>
  </si>
  <si>
    <t>n =</t>
  </si>
  <si>
    <t>(срок проекта, лет)</t>
  </si>
  <si>
    <t>(1 способ.)</t>
  </si>
  <si>
    <t>Рассчитанные показатели (кратко):</t>
  </si>
  <si>
    <t>Рассчитанные показатели (подробно):</t>
  </si>
  <si>
    <r>
      <t>(через ручную формулу, через расчёт CF</t>
    </r>
    <r>
      <rPr>
        <sz val="10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 xml:space="preserve"> и PV</t>
    </r>
    <r>
      <rPr>
        <sz val="10"/>
        <color theme="1"/>
        <rFont val="Calibri"/>
        <family val="2"/>
        <charset val="204"/>
        <scheme val="minor"/>
      </rPr>
      <t>t</t>
    </r>
    <r>
      <rPr>
        <b/>
        <sz val="11"/>
        <color theme="1"/>
        <rFont val="Calibri"/>
        <family val="2"/>
        <charset val="204"/>
        <scheme val="minor"/>
      </rPr>
      <t>, не учитываются даты платежей, т.е. только для равных периодов</t>
    </r>
    <r>
      <rPr>
        <sz val="11"/>
        <color theme="1"/>
        <rFont val="Calibri"/>
        <family val="2"/>
        <charset val="204"/>
        <scheme val="minor"/>
      </rPr>
      <t>)</t>
    </r>
  </si>
  <si>
    <r>
      <t>(</t>
    </r>
    <r>
      <rPr>
        <b/>
        <i/>
        <sz val="11"/>
        <color theme="1"/>
        <rFont val="Calibri"/>
        <family val="2"/>
        <charset val="204"/>
        <scheme val="minor"/>
      </rPr>
      <t>округлено</t>
    </r>
    <r>
      <rPr>
        <i/>
        <sz val="11"/>
        <color theme="1"/>
        <rFont val="Calibri"/>
        <family val="2"/>
        <charset val="204"/>
        <scheme val="minor"/>
      </rPr>
      <t xml:space="preserve">, а также </t>
    </r>
    <r>
      <rPr>
        <b/>
        <i/>
        <sz val="11"/>
        <rFont val="Calibri"/>
        <family val="2"/>
        <charset val="204"/>
        <scheme val="minor"/>
      </rPr>
      <t>за год примимается 365 дней</t>
    </r>
    <r>
      <rPr>
        <i/>
        <sz val="11"/>
        <color theme="1"/>
        <rFont val="Calibri"/>
        <family val="2"/>
        <charset val="204"/>
        <scheme val="minor"/>
      </rPr>
      <t>)</t>
    </r>
  </si>
  <si>
    <t>Платёж с одинаковыми денежными потоками в каждом периоде?</t>
  </si>
  <si>
    <t>Исходные данные за каждый период:</t>
  </si>
  <si>
    <t>DPI=</t>
  </si>
  <si>
    <t>Подробный расчёт показателей:</t>
  </si>
  <si>
    <t>ARR=</t>
  </si>
  <si>
    <t>ARR (1 способ)=</t>
  </si>
  <si>
    <t>ликвидационная стоимость (RV) =</t>
  </si>
  <si>
    <t>(рассчитывается исходя из средней прибыли и суммы всех инвестиций с учётом ликвидационной стоимости в случае её наличия)</t>
  </si>
  <si>
    <t>(рассчитывается исходя из средней прибыли и суммы всех инвестиций с учётом ликвидационной стоимости (вычисляется половинная их стоимость даже если и нет ликвидационной стоимости))</t>
  </si>
  <si>
    <t>ARR (2 способ)=</t>
  </si>
  <si>
    <t>PN=</t>
  </si>
  <si>
    <t>(среднегодовая чистая прибыль (без учёта инвестиций и процентной ставки, с вычетом оттоков))</t>
  </si>
  <si>
    <t>См. также в Википедии:</t>
  </si>
  <si>
    <t>про PV</t>
  </si>
  <si>
    <t>про NPV</t>
  </si>
  <si>
    <t>про IRR</t>
  </si>
  <si>
    <t>про i</t>
  </si>
  <si>
    <t>про PP</t>
  </si>
  <si>
    <t>(Внутренняя норма доходности (ВНД), или Внутренняя норма прибыли)</t>
  </si>
  <si>
    <t>(Расчётная норма прибыли, или Коэффициент эффективности, или Учётная норма прибыли (УНП), или Учётная норма доходности, или Расчётная рентабельность, или Учётная доходность, или Средневзвешенная (бухгалтерская) ставка рентабельности)</t>
  </si>
  <si>
    <t>(а также нужно обязательно удалить лишние строки с периодами в расчёте...)</t>
  </si>
  <si>
    <t xml:space="preserve"> = ARR (способ 2)</t>
  </si>
  <si>
    <r>
      <t>ROI</t>
    </r>
    <r>
      <rPr>
        <sz val="10"/>
        <color theme="1"/>
        <rFont val="Calibri"/>
        <family val="2"/>
        <charset val="204"/>
        <scheme val="minor"/>
      </rPr>
      <t xml:space="preserve">t
(или ROR, окупаемость инвестиций, </t>
    </r>
    <r>
      <rPr>
        <sz val="8"/>
        <color theme="1"/>
        <rFont val="Calibri"/>
        <family val="2"/>
        <charset val="204"/>
        <scheme val="minor"/>
      </rPr>
      <t>или рентабельность инвестиций</t>
    </r>
    <r>
      <rPr>
        <sz val="10"/>
        <color theme="1"/>
        <rFont val="Calibri"/>
        <family val="2"/>
        <charset val="204"/>
        <scheme val="minor"/>
      </rPr>
      <t>)</t>
    </r>
  </si>
  <si>
    <r>
      <t>DROI</t>
    </r>
    <r>
      <rPr>
        <sz val="10"/>
        <color theme="1"/>
        <rFont val="Calibri"/>
        <family val="2"/>
        <charset val="204"/>
        <scheme val="minor"/>
      </rPr>
      <t>t
(дисконтированная окупаемость инвестиций</t>
    </r>
    <r>
      <rPr>
        <sz val="10"/>
        <color theme="1"/>
        <rFont val="Calibri"/>
        <family val="2"/>
        <charset val="204"/>
        <scheme val="minor"/>
      </rPr>
      <t>)</t>
    </r>
  </si>
  <si>
    <t>про ROI</t>
  </si>
  <si>
    <t>ROI=</t>
  </si>
  <si>
    <t>DROI=</t>
  </si>
  <si>
    <t>Считать, что в году дней:</t>
  </si>
  <si>
    <t>дней в году</t>
  </si>
  <si>
    <r>
      <t>CF</t>
    </r>
    <r>
      <rPr>
        <sz val="10"/>
        <color theme="6" tint="0.59999389629810485"/>
        <rFont val="Calibri"/>
        <family val="2"/>
        <charset val="204"/>
        <scheme val="minor"/>
      </rPr>
      <t>t</t>
    </r>
    <r>
      <rPr>
        <sz val="11"/>
        <color theme="6" tint="0.59999389629810485"/>
        <rFont val="Calibri"/>
        <family val="2"/>
        <charset val="204"/>
        <scheme val="minor"/>
      </rPr>
      <t xml:space="preserve"> "нарастающим итогом"</t>
    </r>
  </si>
  <si>
    <r>
      <t>NPV</t>
    </r>
    <r>
      <rPr>
        <sz val="10"/>
        <color theme="6" tint="0.59999389629810485"/>
        <rFont val="Calibri"/>
        <family val="2"/>
        <charset val="204"/>
        <scheme val="minor"/>
      </rPr>
      <t>t</t>
    </r>
    <r>
      <rPr>
        <sz val="11"/>
        <color theme="6" tint="0.59999389629810485"/>
        <rFont val="Calibri"/>
        <family val="2"/>
        <charset val="204"/>
        <scheme val="minor"/>
      </rPr>
      <t xml:space="preserve"> "нарастающим итогом"</t>
    </r>
  </si>
  <si>
    <t xml:space="preserve">(влияет на PP и DPP, когда расписывается по дням. А также в случае, когда учитываются даты платежей, влияет на точность срока проекта, и как следствие, на PN, и как следствие на ARR, а также на NPV, DPI, ROI. Не влияет: на IRR,  т.к. при учёте дат берётся формула Excel для расчёта IRR, в которой по умолчанию всегда указано 365 дней, а если даты не учитываются, то указанное количество не влияет на них совсем.) </t>
  </si>
  <si>
    <t>Вывод по NPV и DPI:</t>
  </si>
  <si>
    <t>про DPI</t>
  </si>
  <si>
    <t>(дисконтированный индекс рентабельности (или просто PI - индекс рентабельности)</t>
  </si>
  <si>
    <t>(дисконтированная окупаемость инвестиций)</t>
  </si>
  <si>
    <t>(или ROR, окупаемость инвестиций, или рентабельность инвестиций)</t>
  </si>
  <si>
    <r>
      <t>DPI</t>
    </r>
    <r>
      <rPr>
        <sz val="10"/>
        <color theme="1"/>
        <rFont val="Calibri"/>
        <family val="2"/>
        <charset val="204"/>
        <scheme val="minor"/>
      </rPr>
      <t>t
(дисконтированный индекс рентабельности, или просто PI - индекс рентабельности)</t>
    </r>
  </si>
  <si>
    <t>инвестиционные затраты</t>
  </si>
  <si>
    <t>(срок окупаемости, или PBP)</t>
  </si>
  <si>
    <t>(дисконтированный срок окупаемости, или DPBP)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</si>
</sst>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&quot;р.&quot;;[Red]\-#,##0.00&quot;р.&quot;"/>
    <numFmt numFmtId="164" formatCode="#,##0&quot;р.&quot;"/>
    <numFmt numFmtId="165" formatCode="#,##0.00&quot;р.&quot;"/>
    <numFmt numFmtId="166" formatCode="#,##0.0000"/>
    <numFmt numFmtId="167" formatCode="0.0000"/>
    <numFmt numFmtId="168" formatCode="#,##0.00_ ;[Red]\-#,##0.00\ "/>
    <numFmt numFmtId="169" formatCode="0.00000000000000000000000000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6" tint="0.59999389629810485"/>
      <name val="Calibri"/>
      <family val="2"/>
      <charset val="204"/>
      <scheme val="minor"/>
    </font>
    <font>
      <sz val="10"/>
      <color theme="6" tint="0.59999389629810485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1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C5AB"/>
        <bgColor indexed="64"/>
      </patternFill>
    </fill>
    <fill>
      <patternFill patternType="solid">
        <fgColor rgb="FFECDFD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1"/>
    <xf numFmtId="0" fontId="0" fillId="2" borderId="7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right" wrapText="1"/>
    </xf>
    <xf numFmtId="0" fontId="0" fillId="5" borderId="3" xfId="0" applyFill="1" applyBorder="1" applyAlignment="1">
      <alignment horizontal="right" wrapText="1"/>
    </xf>
    <xf numFmtId="9" fontId="0" fillId="5" borderId="2" xfId="0" applyNumberFormat="1" applyFill="1" applyBorder="1" applyAlignment="1">
      <alignment horizontal="left"/>
    </xf>
    <xf numFmtId="0" fontId="0" fillId="6" borderId="1" xfId="0" applyFill="1" applyBorder="1" applyAlignment="1">
      <alignment horizontal="right" wrapText="1"/>
    </xf>
    <xf numFmtId="165" fontId="0" fillId="0" borderId="0" xfId="0" applyNumberFormat="1"/>
    <xf numFmtId="165" fontId="1" fillId="7" borderId="0" xfId="0" applyNumberFormat="1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8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horizontal="right" wrapText="1"/>
    </xf>
    <xf numFmtId="165" fontId="0" fillId="0" borderId="0" xfId="0" applyNumberFormat="1" applyFill="1" applyAlignment="1">
      <alignment horizontal="center" wrapText="1"/>
    </xf>
    <xf numFmtId="0" fontId="1" fillId="9" borderId="0" xfId="0" applyFont="1" applyFill="1"/>
    <xf numFmtId="0" fontId="0" fillId="9" borderId="0" xfId="0" applyFill="1"/>
    <xf numFmtId="164" fontId="5" fillId="6" borderId="2" xfId="0" applyNumberFormat="1" applyFont="1" applyFill="1" applyBorder="1" applyAlignment="1">
      <alignment horizontal="left"/>
    </xf>
    <xf numFmtId="164" fontId="5" fillId="5" borderId="2" xfId="0" applyNumberFormat="1" applyFont="1" applyFill="1" applyBorder="1" applyAlignment="1">
      <alignment horizontal="left"/>
    </xf>
    <xf numFmtId="164" fontId="7" fillId="5" borderId="5" xfId="0" applyNumberFormat="1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center"/>
    </xf>
    <xf numFmtId="10" fontId="1" fillId="8" borderId="0" xfId="0" applyNumberFormat="1" applyFont="1" applyFill="1" applyAlignment="1">
      <alignment horizontal="left"/>
    </xf>
    <xf numFmtId="0" fontId="1" fillId="10" borderId="0" xfId="0" applyFont="1" applyFill="1" applyAlignment="1">
      <alignment horizontal="right"/>
    </xf>
    <xf numFmtId="10" fontId="1" fillId="10" borderId="0" xfId="0" applyNumberFormat="1" applyFont="1" applyFill="1" applyAlignment="1">
      <alignment horizontal="left"/>
    </xf>
    <xf numFmtId="0" fontId="1" fillId="7" borderId="0" xfId="0" applyFont="1" applyFill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64" fontId="0" fillId="3" borderId="0" xfId="0" applyNumberFormat="1" applyFill="1" applyBorder="1" applyAlignment="1">
      <alignment horizontal="center"/>
    </xf>
    <xf numFmtId="167" fontId="0" fillId="0" borderId="0" xfId="0" applyNumberFormat="1"/>
    <xf numFmtId="3" fontId="0" fillId="12" borderId="0" xfId="0" applyNumberFormat="1" applyFill="1"/>
    <xf numFmtId="0" fontId="0" fillId="12" borderId="0" xfId="0" applyFill="1"/>
    <xf numFmtId="1" fontId="0" fillId="12" borderId="0" xfId="0" applyNumberFormat="1" applyFill="1"/>
    <xf numFmtId="0" fontId="0" fillId="12" borderId="0" xfId="0" applyFill="1" applyAlignment="1">
      <alignment horizontal="left"/>
    </xf>
    <xf numFmtId="0" fontId="0" fillId="12" borderId="0" xfId="0" applyFill="1" applyAlignment="1">
      <alignment horizontal="right"/>
    </xf>
    <xf numFmtId="0" fontId="1" fillId="12" borderId="0" xfId="0" applyFont="1" applyFill="1" applyAlignment="1">
      <alignment horizontal="center"/>
    </xf>
    <xf numFmtId="0" fontId="0" fillId="11" borderId="7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1" fillId="13" borderId="0" xfId="0" applyFont="1" applyFill="1" applyAlignment="1">
      <alignment horizontal="center"/>
    </xf>
    <xf numFmtId="0" fontId="0" fillId="13" borderId="0" xfId="0" applyFill="1"/>
    <xf numFmtId="3" fontId="0" fillId="13" borderId="0" xfId="0" applyNumberFormat="1" applyFill="1"/>
    <xf numFmtId="0" fontId="0" fillId="13" borderId="0" xfId="0" applyFill="1" applyAlignment="1">
      <alignment horizontal="left"/>
    </xf>
    <xf numFmtId="1" fontId="0" fillId="13" borderId="0" xfId="0" applyNumberFormat="1" applyFill="1"/>
    <xf numFmtId="168" fontId="0" fillId="0" borderId="0" xfId="0" applyNumberFormat="1" applyAlignment="1">
      <alignment wrapText="1"/>
    </xf>
    <xf numFmtId="0" fontId="0" fillId="3" borderId="0" xfId="0" applyFont="1" applyFill="1" applyAlignment="1">
      <alignment horizontal="right"/>
    </xf>
    <xf numFmtId="165" fontId="0" fillId="3" borderId="0" xfId="0" applyNumberFormat="1" applyFill="1" applyAlignment="1">
      <alignment horizontal="left"/>
    </xf>
    <xf numFmtId="0" fontId="4" fillId="3" borderId="0" xfId="0" applyFont="1" applyFill="1" applyAlignment="1">
      <alignment horizontal="right"/>
    </xf>
    <xf numFmtId="8" fontId="0" fillId="3" borderId="0" xfId="0" applyNumberFormat="1" applyFill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5" borderId="9" xfId="0" applyFill="1" applyBorder="1" applyAlignment="1">
      <alignment horizontal="right" wrapText="1"/>
    </xf>
    <xf numFmtId="9" fontId="0" fillId="5" borderId="10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4" borderId="0" xfId="0" applyFill="1" applyBorder="1" applyAlignment="1">
      <alignment horizontal="right" wrapText="1"/>
    </xf>
    <xf numFmtId="1" fontId="0" fillId="4" borderId="0" xfId="0" applyNumberFormat="1" applyFill="1" applyBorder="1" applyAlignment="1">
      <alignment horizontal="left"/>
    </xf>
    <xf numFmtId="166" fontId="0" fillId="12" borderId="5" xfId="0" applyNumberFormat="1" applyFill="1" applyBorder="1" applyAlignment="1">
      <alignment horizontal="left"/>
    </xf>
    <xf numFmtId="0" fontId="1" fillId="4" borderId="9" xfId="0" applyFont="1" applyFill="1" applyBorder="1" applyAlignment="1">
      <alignment horizontal="right" wrapText="1"/>
    </xf>
    <xf numFmtId="0" fontId="0" fillId="4" borderId="9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4" fontId="0" fillId="12" borderId="0" xfId="0" applyNumberFormat="1" applyFill="1"/>
    <xf numFmtId="4" fontId="0" fillId="13" borderId="0" xfId="0" applyNumberFormat="1" applyFill="1"/>
    <xf numFmtId="4" fontId="0" fillId="0" borderId="0" xfId="0" applyNumberFormat="1"/>
    <xf numFmtId="169" fontId="0" fillId="0" borderId="0" xfId="0" applyNumberFormat="1"/>
    <xf numFmtId="0" fontId="8" fillId="0" borderId="0" xfId="0" applyFont="1" applyFill="1"/>
    <xf numFmtId="0" fontId="0" fillId="0" borderId="0" xfId="0" applyAlignment="1">
      <alignment horizontal="right" wrapText="1"/>
    </xf>
    <xf numFmtId="0" fontId="0" fillId="14" borderId="2" xfId="0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4" fontId="1" fillId="0" borderId="8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/>
    </xf>
    <xf numFmtId="0" fontId="0" fillId="9" borderId="0" xfId="0" applyFont="1" applyFill="1" applyAlignment="1">
      <alignment horizontal="right" vertical="top"/>
    </xf>
    <xf numFmtId="0" fontId="0" fillId="9" borderId="0" xfId="0" applyFont="1" applyFill="1" applyAlignment="1">
      <alignment horizontal="left" vertical="top"/>
    </xf>
    <xf numFmtId="0" fontId="0" fillId="0" borderId="6" xfId="0" applyBorder="1"/>
    <xf numFmtId="0" fontId="0" fillId="0" borderId="8" xfId="0" applyBorder="1" applyAlignment="1">
      <alignment horizontal="right"/>
    </xf>
    <xf numFmtId="165" fontId="1" fillId="0" borderId="6" xfId="0" applyNumberFormat="1" applyFont="1" applyFill="1" applyBorder="1" applyAlignment="1">
      <alignment horizontal="center"/>
    </xf>
    <xf numFmtId="165" fontId="8" fillId="0" borderId="8" xfId="0" applyNumberFormat="1" applyFont="1" applyBorder="1"/>
    <xf numFmtId="164" fontId="1" fillId="0" borderId="7" xfId="0" applyNumberFormat="1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0" fontId="0" fillId="0" borderId="0" xfId="0" applyFill="1"/>
    <xf numFmtId="0" fontId="1" fillId="15" borderId="0" xfId="0" applyFont="1" applyFill="1" applyAlignment="1">
      <alignment horizontal="right"/>
    </xf>
    <xf numFmtId="4" fontId="1" fillId="15" borderId="0" xfId="0" applyNumberFormat="1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165" fontId="0" fillId="5" borderId="2" xfId="0" applyNumberFormat="1" applyFill="1" applyBorder="1" applyAlignment="1">
      <alignment horizontal="left"/>
    </xf>
    <xf numFmtId="0" fontId="1" fillId="16" borderId="0" xfId="0" applyFont="1" applyFill="1" applyAlignment="1">
      <alignment horizontal="right" wrapText="1"/>
    </xf>
    <xf numFmtId="0" fontId="1" fillId="17" borderId="0" xfId="0" applyFont="1" applyFill="1" applyAlignment="1">
      <alignment horizontal="right" wrapText="1"/>
    </xf>
    <xf numFmtId="0" fontId="1" fillId="16" borderId="0" xfId="0" applyFont="1" applyFill="1"/>
    <xf numFmtId="10" fontId="1" fillId="16" borderId="0" xfId="0" applyNumberFormat="1" applyFont="1" applyFill="1" applyAlignment="1">
      <alignment horizontal="left"/>
    </xf>
    <xf numFmtId="10" fontId="1" fillId="17" borderId="0" xfId="0" applyNumberFormat="1" applyFont="1" applyFill="1" applyAlignment="1">
      <alignment horizontal="left"/>
    </xf>
    <xf numFmtId="0" fontId="1" fillId="18" borderId="0" xfId="0" applyFont="1" applyFill="1" applyAlignment="1">
      <alignment horizontal="right" wrapText="1"/>
    </xf>
    <xf numFmtId="165" fontId="1" fillId="18" borderId="0" xfId="0" applyNumberFormat="1" applyFont="1" applyFill="1" applyAlignment="1">
      <alignment horizontal="left"/>
    </xf>
    <xf numFmtId="166" fontId="0" fillId="0" borderId="0" xfId="0" applyNumberForma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wrapText="1"/>
    </xf>
    <xf numFmtId="10" fontId="7" fillId="0" borderId="0" xfId="0" applyNumberFormat="1" applyFont="1" applyFill="1" applyBorder="1" applyAlignment="1">
      <alignment horizontal="center"/>
    </xf>
    <xf numFmtId="10" fontId="1" fillId="0" borderId="7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1" fillId="19" borderId="0" xfId="0" applyFont="1" applyFill="1" applyAlignment="1">
      <alignment horizontal="right" wrapText="1"/>
    </xf>
    <xf numFmtId="10" fontId="1" fillId="19" borderId="0" xfId="0" applyNumberFormat="1" applyFont="1" applyFill="1" applyAlignment="1">
      <alignment horizontal="left"/>
    </xf>
    <xf numFmtId="0" fontId="1" fillId="20" borderId="0" xfId="0" applyFont="1" applyFill="1" applyAlignment="1">
      <alignment horizontal="right" wrapText="1"/>
    </xf>
    <xf numFmtId="10" fontId="1" fillId="20" borderId="0" xfId="0" applyNumberFormat="1" applyFont="1" applyFill="1" applyAlignment="1">
      <alignment horizontal="left"/>
    </xf>
    <xf numFmtId="0" fontId="10" fillId="0" borderId="0" xfId="0" applyFont="1" applyAlignment="1">
      <alignment wrapText="1"/>
    </xf>
    <xf numFmtId="2" fontId="0" fillId="4" borderId="0" xfId="0" applyNumberForma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left"/>
    </xf>
    <xf numFmtId="0" fontId="8" fillId="0" borderId="0" xfId="0" applyFont="1"/>
    <xf numFmtId="2" fontId="8" fillId="0" borderId="0" xfId="0" applyNumberFormat="1" applyFont="1"/>
    <xf numFmtId="4" fontId="0" fillId="13" borderId="2" xfId="0" applyNumberFormat="1" applyFill="1" applyBorder="1" applyAlignment="1">
      <alignment horizontal="left"/>
    </xf>
    <xf numFmtId="1" fontId="0" fillId="4" borderId="0" xfId="0" applyNumberFormat="1" applyFill="1" applyBorder="1" applyAlignment="1">
      <alignment horizontal="right"/>
    </xf>
    <xf numFmtId="0" fontId="14" fillId="11" borderId="7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0" fontId="8" fillId="13" borderId="2" xfId="0" applyFont="1" applyFill="1" applyBorder="1" applyAlignment="1">
      <alignment horizontal="left"/>
    </xf>
    <xf numFmtId="166" fontId="8" fillId="12" borderId="5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4" xfId="0" applyBorder="1"/>
    <xf numFmtId="164" fontId="5" fillId="6" borderId="1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3" xfId="0" applyBorder="1"/>
    <xf numFmtId="0" fontId="1" fillId="16" borderId="3" xfId="0" applyFont="1" applyFill="1" applyBorder="1" applyAlignment="1">
      <alignment horizontal="right" vertical="top"/>
    </xf>
    <xf numFmtId="10" fontId="1" fillId="16" borderId="4" xfId="0" applyNumberFormat="1" applyFont="1" applyFill="1" applyBorder="1" applyAlignment="1">
      <alignment horizontal="left" vertical="top"/>
    </xf>
    <xf numFmtId="10" fontId="1" fillId="17" borderId="7" xfId="0" applyNumberFormat="1" applyFont="1" applyFill="1" applyBorder="1" applyAlignment="1">
      <alignment horizontal="right" vertical="top"/>
    </xf>
    <xf numFmtId="0" fontId="1" fillId="7" borderId="1" xfId="0" applyFont="1" applyFill="1" applyBorder="1" applyAlignment="1">
      <alignment horizontal="right" vertical="center"/>
    </xf>
    <xf numFmtId="165" fontId="1" fillId="7" borderId="2" xfId="0" applyNumberFormat="1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right" vertical="center"/>
    </xf>
    <xf numFmtId="10" fontId="1" fillId="8" borderId="2" xfId="0" applyNumberFormat="1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right" vertical="center"/>
    </xf>
    <xf numFmtId="10" fontId="1" fillId="10" borderId="2" xfId="0" applyNumberFormat="1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right" vertical="center"/>
    </xf>
    <xf numFmtId="4" fontId="1" fillId="15" borderId="2" xfId="0" applyNumberFormat="1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right" vertical="center" wrapText="1"/>
    </xf>
    <xf numFmtId="10" fontId="1" fillId="20" borderId="2" xfId="0" applyNumberFormat="1" applyFont="1" applyFill="1" applyBorder="1" applyAlignment="1">
      <alignment horizontal="left" vertical="center" wrapText="1"/>
    </xf>
    <xf numFmtId="0" fontId="1" fillId="19" borderId="1" xfId="0" applyFont="1" applyFill="1" applyBorder="1" applyAlignment="1">
      <alignment horizontal="right" vertical="center" wrapText="1"/>
    </xf>
    <xf numFmtId="10" fontId="1" fillId="19" borderId="2" xfId="0" applyNumberFormat="1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right" vertical="center"/>
    </xf>
    <xf numFmtId="4" fontId="1" fillId="13" borderId="0" xfId="0" applyNumberFormat="1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right" vertical="center"/>
    </xf>
    <xf numFmtId="4" fontId="1" fillId="12" borderId="0" xfId="0" applyNumberFormat="1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right" vertical="center" wrapText="1"/>
    </xf>
    <xf numFmtId="165" fontId="1" fillId="18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wrapText="1"/>
    </xf>
    <xf numFmtId="0" fontId="0" fillId="0" borderId="0" xfId="0" applyAlignment="1"/>
    <xf numFmtId="0" fontId="1" fillId="17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CDFD0"/>
      <color rgb="FFDDC5AB"/>
      <color rgb="FFDFD8E8"/>
      <color rgb="FFF1DFF1"/>
      <color rgb="FFE8C8E8"/>
      <color rgb="FFE4E4E4"/>
      <color rgb="FF008E40"/>
      <color rgb="FFFEF6F0"/>
      <color rgb="FFFFFFFF"/>
      <color rgb="FFF6FE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972003499562"/>
          <c:y val="5.7266392983219984E-2"/>
          <c:w val="0.86472724693197212"/>
          <c:h val="0.82314398597683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Лист1!$F$14</c:f>
              <c:strCache>
                <c:ptCount val="1"/>
                <c:pt idx="0">
                  <c:v>CFt
(Cash Flow,
денежный поток)</c:v>
                </c:pt>
              </c:strCache>
            </c:strRef>
          </c:tx>
          <c:invertIfNegative val="0"/>
          <c:cat>
            <c:numRef>
              <c:f>Лист1!$B$15:$B$25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Лист1!$F$15:$F$25</c:f>
              <c:numCache>
                <c:formatCode>#,##0"р."</c:formatCode>
                <c:ptCount val="11"/>
                <c:pt idx="0">
                  <c:v>-150000</c:v>
                </c:pt>
                <c:pt idx="1">
                  <c:v>45000</c:v>
                </c:pt>
                <c:pt idx="2">
                  <c:v>45000</c:v>
                </c:pt>
                <c:pt idx="3">
                  <c:v>45000</c:v>
                </c:pt>
                <c:pt idx="4">
                  <c:v>45000</c:v>
                </c:pt>
                <c:pt idx="5">
                  <c:v>45000</c:v>
                </c:pt>
                <c:pt idx="6">
                  <c:v>45000</c:v>
                </c:pt>
                <c:pt idx="7">
                  <c:v>45000</c:v>
                </c:pt>
                <c:pt idx="8">
                  <c:v>45000</c:v>
                </c:pt>
                <c:pt idx="9">
                  <c:v>45000</c:v>
                </c:pt>
                <c:pt idx="10">
                  <c:v>45000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85732480"/>
        <c:axId val="188430208"/>
      </c:barChart>
      <c:catAx>
        <c:axId val="1857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8430208"/>
        <c:crosses val="autoZero"/>
        <c:auto val="1"/>
        <c:lblAlgn val="ctr"/>
        <c:lblOffset val="100"/>
        <c:noMultiLvlLbl val="0"/>
      </c:catAx>
      <c:valAx>
        <c:axId val="188430208"/>
        <c:scaling>
          <c:orientation val="minMax"/>
        </c:scaling>
        <c:delete val="0"/>
        <c:axPos val="l"/>
        <c:numFmt formatCode="#,##0&quot;р.&quot;" sourceLinked="1"/>
        <c:majorTickMark val="none"/>
        <c:minorTickMark val="none"/>
        <c:tickLblPos val="nextTo"/>
        <c:crossAx val="1857324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972003499562"/>
          <c:y val="5.7266392983219984E-2"/>
          <c:w val="0.86472724693197212"/>
          <c:h val="0.82314398597683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Лист1!$K$14</c:f>
              <c:strCache>
                <c:ptCount val="1"/>
                <c:pt idx="0">
                  <c:v>PVt
(Present Value,
дисконтированная стоимость,
или текущая стоимость,
или приведённая стоимость)</c:v>
                </c:pt>
              </c:strCache>
            </c:strRef>
          </c:tx>
          <c:invertIfNegative val="0"/>
          <c:cat>
            <c:numRef>
              <c:f>Лист1!$B$15:$B$25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Лист1!$K$15:$K$25</c:f>
              <c:numCache>
                <c:formatCode>#,##0"р."</c:formatCode>
                <c:ptCount val="11"/>
                <c:pt idx="0">
                  <c:v>-150000</c:v>
                </c:pt>
                <c:pt idx="1">
                  <c:v>40909.090909090904</c:v>
                </c:pt>
                <c:pt idx="2">
                  <c:v>37190.082644628092</c:v>
                </c:pt>
                <c:pt idx="3">
                  <c:v>33809.166040570992</c:v>
                </c:pt>
                <c:pt idx="4">
                  <c:v>30735.605491428174</c:v>
                </c:pt>
                <c:pt idx="5">
                  <c:v>27941.459537661973</c:v>
                </c:pt>
                <c:pt idx="6">
                  <c:v>25401.326852419974</c:v>
                </c:pt>
                <c:pt idx="7">
                  <c:v>23092.115320381788</c:v>
                </c:pt>
                <c:pt idx="8">
                  <c:v>20992.83210943799</c:v>
                </c:pt>
                <c:pt idx="9">
                  <c:v>19084.39282676181</c:v>
                </c:pt>
                <c:pt idx="10">
                  <c:v>17349.448024328918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89803904"/>
        <c:axId val="198734976"/>
      </c:barChart>
      <c:catAx>
        <c:axId val="1898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8734976"/>
        <c:crosses val="autoZero"/>
        <c:auto val="1"/>
        <c:lblAlgn val="ctr"/>
        <c:lblOffset val="100"/>
        <c:noMultiLvlLbl val="0"/>
      </c:catAx>
      <c:valAx>
        <c:axId val="198734976"/>
        <c:scaling>
          <c:orientation val="minMax"/>
        </c:scaling>
        <c:delete val="0"/>
        <c:axPos val="l"/>
        <c:numFmt formatCode="#,##0&quot;р.&quot;" sourceLinked="1"/>
        <c:majorTickMark val="none"/>
        <c:minorTickMark val="none"/>
        <c:tickLblPos val="nextTo"/>
        <c:crossAx val="189803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402599802920087"/>
          <c:y val="0.7826632555377937"/>
          <c:w val="0.39499588522102858"/>
          <c:h val="0.190309707849084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13</xdr:row>
      <xdr:rowOff>47626</xdr:rowOff>
    </xdr:from>
    <xdr:to>
      <xdr:col>24</xdr:col>
      <xdr:colOff>428625</xdr:colOff>
      <xdr:row>21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428624</xdr:colOff>
      <xdr:row>22</xdr:row>
      <xdr:rowOff>142875</xdr:rowOff>
    </xdr:from>
    <xdr:to>
      <xdr:col>26</xdr:col>
      <xdr:colOff>180975</xdr:colOff>
      <xdr:row>35</xdr:row>
      <xdr:rowOff>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781050</xdr:colOff>
      <xdr:row>25</xdr:row>
      <xdr:rowOff>142875</xdr:rowOff>
    </xdr:from>
    <xdr:to>
      <xdr:col>10</xdr:col>
      <xdr:colOff>142875</xdr:colOff>
      <xdr:row>32</xdr:row>
      <xdr:rowOff>95250</xdr:rowOff>
    </xdr:to>
    <xdr:cxnSp macro="">
      <xdr:nvCxnSpPr>
        <xdr:cNvPr id="14" name="Прямая со стрелкой 13"/>
        <xdr:cNvCxnSpPr/>
      </xdr:nvCxnSpPr>
      <xdr:spPr>
        <a:xfrm flipH="1">
          <a:off x="5286375" y="6762750"/>
          <a:ext cx="5591175" cy="1285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790575</xdr:colOff>
      <xdr:row>25</xdr:row>
      <xdr:rowOff>133350</xdr:rowOff>
    </xdr:from>
    <xdr:to>
      <xdr:col>14</xdr:col>
      <xdr:colOff>228603</xdr:colOff>
      <xdr:row>36</xdr:row>
      <xdr:rowOff>76200</xdr:rowOff>
    </xdr:to>
    <xdr:cxnSp macro="">
      <xdr:nvCxnSpPr>
        <xdr:cNvPr id="7" name="Прямая со стрелкой 6"/>
        <xdr:cNvCxnSpPr/>
      </xdr:nvCxnSpPr>
      <xdr:spPr>
        <a:xfrm flipH="1">
          <a:off x="3733800" y="6562725"/>
          <a:ext cx="10887078" cy="2038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25</xdr:row>
      <xdr:rowOff>133350</xdr:rowOff>
    </xdr:from>
    <xdr:to>
      <xdr:col>13</xdr:col>
      <xdr:colOff>190502</xdr:colOff>
      <xdr:row>39</xdr:row>
      <xdr:rowOff>114300</xdr:rowOff>
    </xdr:to>
    <xdr:cxnSp macro="">
      <xdr:nvCxnSpPr>
        <xdr:cNvPr id="11" name="Прямая со стрелкой 10"/>
        <xdr:cNvCxnSpPr/>
      </xdr:nvCxnSpPr>
      <xdr:spPr>
        <a:xfrm flipH="1">
          <a:off x="3743325" y="6562725"/>
          <a:ext cx="9686927" cy="2647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ru.wikipedia.org/wiki/%D0%98%D0%BD%D0%B4%D0%B5%D0%BA%D1%81_%D1%80%D0%B5%D0%BD%D1%82%D0%B0%D0%B1%D0%B5%D0%BB%D1%8C%D0%BD%D0%BE%D1%81%D1%82%D0%B8" TargetMode="External"/><Relationship Id="rId7" Type="http://schemas.openxmlformats.org/officeDocument/2006/relationships/hyperlink" Target="http://ru.wikipedia.org/wiki/%D0%9E%D0%BA%D1%83%D0%BF%D0%B0%D0%B5%D0%BC%D0%BE%D1%81%D1%82%D1%8C_%D0%B8%D0%BD%D0%B2%D0%B5%D1%81%D1%82%D0%B8%D1%86%D0%B8%D0%B9" TargetMode="External"/><Relationship Id="rId2" Type="http://schemas.openxmlformats.org/officeDocument/2006/relationships/hyperlink" Target="http://ru.wikipedia.org/wiki/%D0%92%D0%BD%D1%83%D1%82%D1%80%D0%B5%D0%BD%D0%BD%D1%8F%D1%8F_%D0%BD%D0%BE%D1%80%D0%BC%D0%B0_%D0%B4%D0%BE%D1%85%D0%BE%D0%B4%D0%BD%D0%BE%D1%81%D1%82%D0%B8" TargetMode="External"/><Relationship Id="rId1" Type="http://schemas.openxmlformats.org/officeDocument/2006/relationships/hyperlink" Target="http://ru.wikipedia.org/wiki/%D0%A7%D0%B8%D1%81%D1%82%D0%B0%D1%8F_%D0%BF%D1%80%D0%B8%D0%B2%D0%B5%D0%B4%D1%91%D0%BD%D0%BD%D0%B0%D1%8F_%D1%81%D1%82%D0%BE%D0%B8%D0%BC%D0%BE%D1%81%D1%82%D1%8C" TargetMode="External"/><Relationship Id="rId6" Type="http://schemas.openxmlformats.org/officeDocument/2006/relationships/hyperlink" Target="https://ru.wikipedia.org/wiki/%D0%A1%D1%80%D0%BE%D0%BA_%D0%BE%D0%BA%D1%83%D0%BF%D0%B0%D0%B5%D0%BC%D0%BE%D1%81%D1%82%D0%B8" TargetMode="External"/><Relationship Id="rId5" Type="http://schemas.openxmlformats.org/officeDocument/2006/relationships/hyperlink" Target="https://ru.wikipedia.org/wiki/%D0%94%D0%B8%D1%81%D0%BA%D0%BE%D0%BD%D1%82%D0%B8%D1%80%D0%BE%D0%B2%D0%B0%D0%BD%D0%BD%D0%B0%D1%8F_%D1%81%D1%82%D0%BE%D0%B8%D0%BC%D0%BE%D1%81%D1%82%D1%8C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ru.wikipedia.org/wiki/%D0%A1%D1%82%D0%B0%D0%B2%D0%BA%D0%B0_%D0%B4%D0%B8%D1%81%D0%BA%D0%BE%D0%BD%D1%82%D0%B8%D1%80%D0%BE%D0%B2%D0%B0%D0%BD%D0%B8%D1%8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1"/>
  <sheetViews>
    <sheetView tabSelected="1" workbookViewId="0">
      <selection activeCell="A5" sqref="A5"/>
    </sheetView>
  </sheetViews>
  <sheetFormatPr defaultRowHeight="15" x14ac:dyDescent="0.25"/>
  <cols>
    <col min="1" max="1" width="45" style="7" customWidth="1"/>
    <col min="2" max="2" width="13" customWidth="1"/>
    <col min="3" max="3" width="10.42578125" customWidth="1"/>
    <col min="4" max="4" width="12.85546875" bestFit="1" customWidth="1"/>
    <col min="5" max="5" width="17.42578125" customWidth="1"/>
    <col min="6" max="6" width="19.28515625" customWidth="1"/>
    <col min="7" max="7" width="5.140625" customWidth="1"/>
    <col min="8" max="8" width="13.28515625" customWidth="1"/>
    <col min="9" max="9" width="12.5703125" customWidth="1"/>
    <col min="10" max="10" width="17" customWidth="1"/>
    <col min="11" max="11" width="17.85546875" customWidth="1"/>
    <col min="12" max="12" width="4.5703125" customWidth="1"/>
    <col min="13" max="13" width="13.140625" customWidth="1"/>
    <col min="14" max="15" width="17.28515625" customWidth="1"/>
    <col min="16" max="16" width="14.7109375" bestFit="1" customWidth="1"/>
    <col min="17" max="17" width="12.85546875" bestFit="1" customWidth="1"/>
    <col min="18" max="18" width="10" customWidth="1"/>
    <col min="19" max="19" width="12.5703125" customWidth="1"/>
  </cols>
  <sheetData>
    <row r="1" spans="1:25" x14ac:dyDescent="0.25">
      <c r="A1" s="31" t="s">
        <v>17</v>
      </c>
      <c r="B1" s="59" t="s">
        <v>16</v>
      </c>
      <c r="D1" s="47" t="s">
        <v>32</v>
      </c>
      <c r="Y1" t="s">
        <v>5</v>
      </c>
    </row>
    <row r="2" spans="1:25" ht="30" x14ac:dyDescent="0.25">
      <c r="A2" s="79" t="s">
        <v>36</v>
      </c>
      <c r="B2" s="80" t="s">
        <v>15</v>
      </c>
      <c r="D2" s="67" t="str">
        <f>A28</f>
        <v>n =</v>
      </c>
      <c r="E2" s="125">
        <f>B28</f>
        <v>10</v>
      </c>
      <c r="F2" s="129">
        <v>365</v>
      </c>
      <c r="G2" s="167" t="s">
        <v>64</v>
      </c>
      <c r="H2" s="168"/>
    </row>
    <row r="3" spans="1:25" ht="15.75" customHeight="1" x14ac:dyDescent="0.25">
      <c r="A3" s="32" t="s">
        <v>18</v>
      </c>
      <c r="B3" s="60" t="s">
        <v>16</v>
      </c>
      <c r="D3" s="149" t="str">
        <f>B31</f>
        <v>NPV=</v>
      </c>
      <c r="E3" s="150">
        <f ca="1">B32</f>
        <v>126505.51975671062</v>
      </c>
      <c r="F3" s="89" t="str">
        <f>A42</f>
        <v>Вывод по NPV и DPI:</v>
      </c>
      <c r="G3" s="90" t="str">
        <f ca="1">B42</f>
        <v>Лучше вкладываться в проект, если нет альтернативного проекта с большими NPV, PI, DPI и IRR</v>
      </c>
      <c r="H3" s="63"/>
      <c r="I3" s="63"/>
      <c r="J3" s="63"/>
      <c r="K3" s="63"/>
      <c r="L3" s="63"/>
      <c r="M3" s="63"/>
      <c r="N3" s="63"/>
    </row>
    <row r="4" spans="1:25" x14ac:dyDescent="0.25">
      <c r="A4" s="53"/>
      <c r="D4" s="151" t="str">
        <f>A44</f>
        <v>IRR=</v>
      </c>
      <c r="E4" s="152">
        <f ca="1">B44</f>
        <v>0.27319842410498696</v>
      </c>
    </row>
    <row r="5" spans="1:25" x14ac:dyDescent="0.25">
      <c r="A5" s="123" t="s">
        <v>3</v>
      </c>
      <c r="D5" s="153" t="str">
        <f>A45</f>
        <v/>
      </c>
      <c r="E5" s="154" t="str">
        <f>B45</f>
        <v/>
      </c>
    </row>
    <row r="6" spans="1:25" x14ac:dyDescent="0.25">
      <c r="A6" s="61" t="s">
        <v>4</v>
      </c>
      <c r="B6" s="62">
        <v>0.1</v>
      </c>
      <c r="D6" s="155" t="str">
        <f>A37</f>
        <v>DPI=</v>
      </c>
      <c r="E6" s="156">
        <f ca="1">B37</f>
        <v>1.8433701317114042</v>
      </c>
      <c r="F6" s="144"/>
    </row>
    <row r="7" spans="1:25" x14ac:dyDescent="0.25">
      <c r="A7" s="8" t="str">
        <f>IF(B3="да","ставка реинвестирования (для MIRR) =","")</f>
        <v/>
      </c>
      <c r="B7" s="10" t="str">
        <f>IF(B3="да",0%,"")</f>
        <v/>
      </c>
      <c r="D7" s="157" t="s">
        <v>62</v>
      </c>
      <c r="E7" s="158">
        <f ca="1">B40</f>
        <v>0.84337013171140418</v>
      </c>
      <c r="H7" s="126" t="str">
        <f>D54</f>
        <v/>
      </c>
    </row>
    <row r="8" spans="1:25" x14ac:dyDescent="0.25">
      <c r="A8" s="8" t="s">
        <v>42</v>
      </c>
      <c r="B8" s="105">
        <v>0</v>
      </c>
      <c r="C8" s="78" t="str">
        <f>IF(B8&lt;0,"Ошибка! Значение должно быть положительным или равным 0.","")</f>
        <v/>
      </c>
      <c r="D8" s="159" t="s">
        <v>61</v>
      </c>
      <c r="E8" s="160">
        <f ca="1">B39</f>
        <v>2</v>
      </c>
      <c r="F8" s="145"/>
      <c r="G8" s="141"/>
      <c r="H8" s="126" t="str">
        <f>D54</f>
        <v/>
      </c>
    </row>
    <row r="9" spans="1:25" x14ac:dyDescent="0.25">
      <c r="A9" s="11" t="s">
        <v>74</v>
      </c>
      <c r="B9" s="21">
        <v>-150000</v>
      </c>
      <c r="C9" s="78" t="str">
        <f>IF(B9=0,"",IF(B9&gt;0,"Ошибка! Значение должно быть отрицательным или равным 0.",""))</f>
        <v/>
      </c>
      <c r="D9" s="161" t="s">
        <v>20</v>
      </c>
      <c r="E9" s="162">
        <f ca="1">B54</f>
        <v>3.3333333333333335</v>
      </c>
      <c r="F9" s="128" t="str">
        <f ca="1">IF(B1="да","периода",B55)</f>
        <v xml:space="preserve">3 года 4 месяца 0 дней </v>
      </c>
      <c r="G9" s="133"/>
    </row>
    <row r="10" spans="1:25" x14ac:dyDescent="0.25">
      <c r="A10" s="8" t="str">
        <f>IF(B2="да","оттоки денежных средств в каждом периоде =","")</f>
        <v>оттоки денежных средств в каждом периоде =</v>
      </c>
      <c r="B10" s="22">
        <f>IF(B2="да",-5000,0)</f>
        <v>-5000</v>
      </c>
      <c r="C10" s="78" t="str">
        <f>IF(B10&gt;0,"Ошибка! Значение должно быть отрицательным или равным 0.","")</f>
        <v/>
      </c>
      <c r="D10" s="163" t="s">
        <v>26</v>
      </c>
      <c r="E10" s="164">
        <f ca="1">B60</f>
        <v>4.2632666666666674</v>
      </c>
      <c r="F10" s="66" t="str">
        <f ca="1">IF(B1="да","периода",B61)</f>
        <v xml:space="preserve">4 года 3 месяца 5 дней </v>
      </c>
      <c r="G10" s="134"/>
    </row>
    <row r="11" spans="1:25" ht="15" customHeight="1" x14ac:dyDescent="0.25">
      <c r="A11" s="9" t="str">
        <f>IF(B2="да","притоки денежных средств в каждом периоде =","")</f>
        <v>притоки денежных средств в каждом периоде =</v>
      </c>
      <c r="B11" s="23">
        <f>IF(B2="да",50000,0)</f>
        <v>50000</v>
      </c>
      <c r="C11" s="78" t="str">
        <f>IF(B9="","",IF(B11&lt;0,"Ошибка! Значение должно быть положительным или равным 0.",""))</f>
        <v/>
      </c>
      <c r="D11" s="165" t="s">
        <v>46</v>
      </c>
      <c r="E11" s="166">
        <f>B47</f>
        <v>45000</v>
      </c>
      <c r="F11" s="113"/>
      <c r="G11" s="113"/>
    </row>
    <row r="12" spans="1:25" ht="30" customHeight="1" x14ac:dyDescent="0.25">
      <c r="A12" s="115" t="s">
        <v>56</v>
      </c>
      <c r="D12" s="146" t="s">
        <v>40</v>
      </c>
      <c r="E12" s="147">
        <f>B50</f>
        <v>0.3</v>
      </c>
      <c r="F12" s="148">
        <f>B51</f>
        <v>0.6</v>
      </c>
      <c r="G12" s="169" t="s">
        <v>57</v>
      </c>
      <c r="H12" s="170"/>
    </row>
    <row r="13" spans="1:25" ht="21" customHeight="1" x14ac:dyDescent="0.25">
      <c r="B13" s="47" t="s">
        <v>37</v>
      </c>
      <c r="F13" s="47" t="s">
        <v>39</v>
      </c>
    </row>
    <row r="14" spans="1:25" ht="95.25" customHeight="1" x14ac:dyDescent="0.25">
      <c r="B14" s="5" t="s">
        <v>21</v>
      </c>
      <c r="C14" s="6" t="s">
        <v>14</v>
      </c>
      <c r="D14" s="5" t="s">
        <v>11</v>
      </c>
      <c r="E14" s="6" t="s">
        <v>10</v>
      </c>
      <c r="F14" s="4" t="s">
        <v>12</v>
      </c>
      <c r="G14" s="130" t="s">
        <v>65</v>
      </c>
      <c r="H14" s="41" t="s">
        <v>27</v>
      </c>
      <c r="I14" s="97" t="s">
        <v>58</v>
      </c>
      <c r="J14" s="4" t="s">
        <v>9</v>
      </c>
      <c r="K14" s="97" t="s">
        <v>13</v>
      </c>
      <c r="L14" s="130" t="s">
        <v>66</v>
      </c>
      <c r="M14" s="41" t="s">
        <v>28</v>
      </c>
      <c r="N14" s="97" t="s">
        <v>59</v>
      </c>
      <c r="O14" s="87" t="s">
        <v>73</v>
      </c>
    </row>
    <row r="15" spans="1:25" x14ac:dyDescent="0.25">
      <c r="B15" s="68">
        <v>0</v>
      </c>
      <c r="C15" s="73">
        <v>40179</v>
      </c>
      <c r="D15" s="72">
        <v>0</v>
      </c>
      <c r="E15" s="142">
        <f>$B$9</f>
        <v>-150000</v>
      </c>
      <c r="F15" s="24">
        <f>$E$15</f>
        <v>-150000</v>
      </c>
      <c r="G15" s="131">
        <f ca="1">SUMIF(F15:F25,"&lt;0")</f>
        <v>-150000</v>
      </c>
      <c r="H15" s="42" t="str">
        <f t="shared" ref="H15:H25" ca="1" si="0">IF(G15&gt;=0,$B15,"")</f>
        <v/>
      </c>
      <c r="I15" s="116"/>
      <c r="J15" s="58">
        <f>1/(1+$B$6)^B15</f>
        <v>1</v>
      </c>
      <c r="K15" s="24">
        <f t="shared" ref="K15:K25" si="1">F15*J15</f>
        <v>-150000</v>
      </c>
      <c r="L15" s="131">
        <f ca="1">SUMIF(K15:K25,"&lt;0")</f>
        <v>-150000</v>
      </c>
      <c r="M15" s="84" t="str">
        <f t="shared" ref="M15:M25" ca="1" si="2">IF(L15&gt;=0,$B15,"")</f>
        <v/>
      </c>
      <c r="N15" s="116"/>
      <c r="O15" s="85"/>
    </row>
    <row r="16" spans="1:25" x14ac:dyDescent="0.25">
      <c r="B16" s="29">
        <v>1</v>
      </c>
      <c r="C16" s="70">
        <v>40544</v>
      </c>
      <c r="D16" s="138">
        <f t="shared" ref="D16:D25" si="3">$B$11</f>
        <v>50000</v>
      </c>
      <c r="E16" s="135">
        <f t="shared" ref="E16:E25" si="4">$B$10</f>
        <v>-5000</v>
      </c>
      <c r="F16" s="43">
        <f ca="1">IF(OFFSET(B16,1,)=2,SUM(D16:E16),SUM(D16:E16)+$B$8)</f>
        <v>45000</v>
      </c>
      <c r="G16" s="131">
        <f t="shared" ref="G16:G25" ca="1" si="5">G15+IF(F16&gt;0,F16,0)</f>
        <v>-105000</v>
      </c>
      <c r="H16" s="42" t="str">
        <f t="shared" ca="1" si="0"/>
        <v/>
      </c>
      <c r="I16" s="116">
        <f ca="1">SUM($F$15:F16)/-$F$15</f>
        <v>-0.7</v>
      </c>
      <c r="J16" s="58">
        <f t="shared" ref="J16:J23" si="6">IF($B$1="да",1/(1+$B$6)^((C16-$C$15)/$B$29),1/(1+$B$6)^B16)</f>
        <v>0.90909090909090906</v>
      </c>
      <c r="K16" s="33">
        <f t="shared" ca="1" si="1"/>
        <v>40909.090909090904</v>
      </c>
      <c r="L16" s="131">
        <f t="shared" ref="L16:L25" ca="1" si="7">L15+IF(K16&gt;0,K16,0)</f>
        <v>-109090.90909090909</v>
      </c>
      <c r="M16" s="42" t="str">
        <f t="shared" ca="1" si="2"/>
        <v/>
      </c>
      <c r="N16" s="116">
        <f ca="1">SUM($K$15:K16)/-$F$15</f>
        <v>-0.72727272727272729</v>
      </c>
      <c r="O16" s="86">
        <f ca="1">K16/-$F$15</f>
        <v>0.27272727272727271</v>
      </c>
      <c r="P16" s="2"/>
    </row>
    <row r="17" spans="1:16" x14ac:dyDescent="0.25">
      <c r="B17" s="29">
        <v>2</v>
      </c>
      <c r="C17" s="70">
        <v>40909</v>
      </c>
      <c r="D17" s="139">
        <f t="shared" si="3"/>
        <v>50000</v>
      </c>
      <c r="E17" s="136">
        <f t="shared" si="4"/>
        <v>-5000</v>
      </c>
      <c r="F17" s="43">
        <f ca="1">IF(OFFSET(B17,1,)=3,SUM(D17:E17),SUM(D17:E17)+$B$8)</f>
        <v>45000</v>
      </c>
      <c r="G17" s="131">
        <f t="shared" ca="1" si="5"/>
        <v>-60000</v>
      </c>
      <c r="H17" s="42" t="str">
        <f t="shared" ca="1" si="0"/>
        <v/>
      </c>
      <c r="I17" s="116">
        <f ca="1">SUM($F$15:F17)/-$F$15</f>
        <v>-0.4</v>
      </c>
      <c r="J17" s="58">
        <f t="shared" si="6"/>
        <v>0.82644628099173545</v>
      </c>
      <c r="K17" s="33">
        <f t="shared" ca="1" si="1"/>
        <v>37190.082644628092</v>
      </c>
      <c r="L17" s="131">
        <f t="shared" ca="1" si="7"/>
        <v>-71900.826446280989</v>
      </c>
      <c r="M17" s="42" t="str">
        <f t="shared" ca="1" si="2"/>
        <v/>
      </c>
      <c r="N17" s="116">
        <f ca="1">SUM($K$15:K17)/-$F$15</f>
        <v>-0.47933884297520657</v>
      </c>
      <c r="O17" s="86">
        <f t="shared" ref="O17:O25" ca="1" si="8">K17/-$F$15</f>
        <v>0.24793388429752061</v>
      </c>
      <c r="P17" s="1"/>
    </row>
    <row r="18" spans="1:16" x14ac:dyDescent="0.25">
      <c r="B18" s="29">
        <v>3</v>
      </c>
      <c r="C18" s="70">
        <v>41275</v>
      </c>
      <c r="D18" s="139">
        <f t="shared" si="3"/>
        <v>50000</v>
      </c>
      <c r="E18" s="136">
        <f t="shared" si="4"/>
        <v>-5000</v>
      </c>
      <c r="F18" s="43">
        <f ca="1">IF(OFFSET(B18,1,)=4,SUM(D18:E18),SUM(D18:E18)+$B$8)</f>
        <v>45000</v>
      </c>
      <c r="G18" s="131">
        <f t="shared" ca="1" si="5"/>
        <v>-15000</v>
      </c>
      <c r="H18" s="42" t="str">
        <f t="shared" ca="1" si="0"/>
        <v/>
      </c>
      <c r="I18" s="116">
        <f ca="1">SUM($F$15:F18)/-$F$15</f>
        <v>-0.1</v>
      </c>
      <c r="J18" s="58">
        <f t="shared" si="6"/>
        <v>0.75131480090157754</v>
      </c>
      <c r="K18" s="33">
        <f t="shared" ca="1" si="1"/>
        <v>33809.166040570992</v>
      </c>
      <c r="L18" s="131">
        <f t="shared" ca="1" si="7"/>
        <v>-38091.660405709998</v>
      </c>
      <c r="M18" s="42" t="str">
        <f t="shared" ca="1" si="2"/>
        <v/>
      </c>
      <c r="N18" s="116">
        <f ca="1">SUM($K$15:K18)/-$F$15</f>
        <v>-0.25394440270473334</v>
      </c>
      <c r="O18" s="86">
        <f t="shared" ca="1" si="8"/>
        <v>0.22539444027047328</v>
      </c>
      <c r="P18" s="1"/>
    </row>
    <row r="19" spans="1:16" x14ac:dyDescent="0.25">
      <c r="B19" s="29">
        <v>4</v>
      </c>
      <c r="C19" s="70">
        <v>41640</v>
      </c>
      <c r="D19" s="139">
        <f t="shared" si="3"/>
        <v>50000</v>
      </c>
      <c r="E19" s="136">
        <f t="shared" si="4"/>
        <v>-5000</v>
      </c>
      <c r="F19" s="43">
        <f ca="1">IF(OFFSET(B19,1,)=5,SUM(D19:E19),SUM(D19:E19)+$B$8)</f>
        <v>45000</v>
      </c>
      <c r="G19" s="131">
        <f t="shared" ca="1" si="5"/>
        <v>30000</v>
      </c>
      <c r="H19" s="42">
        <f t="shared" ca="1" si="0"/>
        <v>4</v>
      </c>
      <c r="I19" s="116">
        <f ca="1">SUM($F$15:F19)/-$F$15</f>
        <v>0.2</v>
      </c>
      <c r="J19" s="58">
        <f t="shared" si="6"/>
        <v>0.68301345536507052</v>
      </c>
      <c r="K19" s="33">
        <f t="shared" ca="1" si="1"/>
        <v>30735.605491428174</v>
      </c>
      <c r="L19" s="131">
        <f t="shared" ca="1" si="7"/>
        <v>-7356.0549142818236</v>
      </c>
      <c r="M19" s="42" t="str">
        <f t="shared" ca="1" si="2"/>
        <v/>
      </c>
      <c r="N19" s="116">
        <f ca="1">SUM($K$15:K19)/-$F$15</f>
        <v>-4.904036609521216E-2</v>
      </c>
      <c r="O19" s="86">
        <f t="shared" ca="1" si="8"/>
        <v>0.20490403660952117</v>
      </c>
      <c r="P19" s="1"/>
    </row>
    <row r="20" spans="1:16" x14ac:dyDescent="0.25">
      <c r="B20" s="29">
        <v>5</v>
      </c>
      <c r="C20" s="70">
        <v>42005</v>
      </c>
      <c r="D20" s="139">
        <f t="shared" si="3"/>
        <v>50000</v>
      </c>
      <c r="E20" s="136">
        <f t="shared" si="4"/>
        <v>-5000</v>
      </c>
      <c r="F20" s="43">
        <f ca="1">IF(OFFSET(B20,1,)=6,SUM(D20:E20),SUM(D20:E20)+$B$8)</f>
        <v>45000</v>
      </c>
      <c r="G20" s="131">
        <f t="shared" ca="1" si="5"/>
        <v>75000</v>
      </c>
      <c r="H20" s="42">
        <f t="shared" ca="1" si="0"/>
        <v>5</v>
      </c>
      <c r="I20" s="116">
        <f ca="1">SUM($F$15:F20)/-$F$15</f>
        <v>0.5</v>
      </c>
      <c r="J20" s="58">
        <f t="shared" si="6"/>
        <v>0.62092132305915493</v>
      </c>
      <c r="K20" s="33">
        <f t="shared" ca="1" si="1"/>
        <v>27941.459537661973</v>
      </c>
      <c r="L20" s="131">
        <f t="shared" ca="1" si="7"/>
        <v>20585.404623380149</v>
      </c>
      <c r="M20" s="42">
        <f t="shared" ca="1" si="2"/>
        <v>5</v>
      </c>
      <c r="N20" s="116">
        <f ca="1">SUM($K$15:K20)/-$F$15</f>
        <v>0.13723603082253433</v>
      </c>
      <c r="O20" s="86">
        <f t="shared" ca="1" si="8"/>
        <v>0.18627639691774647</v>
      </c>
      <c r="P20" s="1"/>
    </row>
    <row r="21" spans="1:16" x14ac:dyDescent="0.25">
      <c r="B21" s="29">
        <v>6</v>
      </c>
      <c r="C21" s="70">
        <v>42370</v>
      </c>
      <c r="D21" s="139">
        <f t="shared" si="3"/>
        <v>50000</v>
      </c>
      <c r="E21" s="136">
        <f t="shared" si="4"/>
        <v>-5000</v>
      </c>
      <c r="F21" s="43">
        <f ca="1">IF(OFFSET(B21,1,)=7,SUM(D21:E21),SUM(D21:E21)+$B$8)</f>
        <v>45000</v>
      </c>
      <c r="G21" s="131">
        <f t="shared" ca="1" si="5"/>
        <v>120000</v>
      </c>
      <c r="H21" s="42">
        <f t="shared" ca="1" si="0"/>
        <v>6</v>
      </c>
      <c r="I21" s="116">
        <f ca="1">SUM($F$15:F21)/-$F$15</f>
        <v>0.8</v>
      </c>
      <c r="J21" s="58">
        <f t="shared" si="6"/>
        <v>0.56447393005377722</v>
      </c>
      <c r="K21" s="33">
        <f t="shared" ca="1" si="1"/>
        <v>25401.326852419974</v>
      </c>
      <c r="L21" s="131">
        <f t="shared" ca="1" si="7"/>
        <v>45986.731475800123</v>
      </c>
      <c r="M21" s="42">
        <f t="shared" ca="1" si="2"/>
        <v>6</v>
      </c>
      <c r="N21" s="116">
        <f ca="1">SUM($K$15:K21)/-$F$15</f>
        <v>0.30657820983866746</v>
      </c>
      <c r="O21" s="86">
        <f t="shared" ca="1" si="8"/>
        <v>0.16934217901613316</v>
      </c>
      <c r="P21" s="1"/>
    </row>
    <row r="22" spans="1:16" x14ac:dyDescent="0.25">
      <c r="B22" s="29">
        <v>7</v>
      </c>
      <c r="C22" s="70">
        <v>42736</v>
      </c>
      <c r="D22" s="139">
        <f t="shared" si="3"/>
        <v>50000</v>
      </c>
      <c r="E22" s="136">
        <f t="shared" si="4"/>
        <v>-5000</v>
      </c>
      <c r="F22" s="43">
        <f ca="1">IF(OFFSET(B22,1,)=8,SUM(D22:E22),SUM(D22:E22)+$B$8)</f>
        <v>45000</v>
      </c>
      <c r="G22" s="131">
        <f t="shared" ca="1" si="5"/>
        <v>165000</v>
      </c>
      <c r="H22" s="42">
        <f t="shared" ca="1" si="0"/>
        <v>7</v>
      </c>
      <c r="I22" s="116">
        <f ca="1">SUM($F$15:F22)/-$F$15</f>
        <v>1.1000000000000001</v>
      </c>
      <c r="J22" s="58">
        <f t="shared" si="6"/>
        <v>0.51315811823070645</v>
      </c>
      <c r="K22" s="33">
        <f t="shared" ca="1" si="1"/>
        <v>23092.115320381788</v>
      </c>
      <c r="L22" s="131">
        <f t="shared" ca="1" si="7"/>
        <v>69078.846796181911</v>
      </c>
      <c r="M22" s="42">
        <f t="shared" ca="1" si="2"/>
        <v>7</v>
      </c>
      <c r="N22" s="116">
        <f ca="1">SUM($K$15:K22)/-$F$15</f>
        <v>0.46052564530787943</v>
      </c>
      <c r="O22" s="86">
        <f t="shared" ca="1" si="8"/>
        <v>0.15394743546921191</v>
      </c>
      <c r="P22" s="1"/>
    </row>
    <row r="23" spans="1:16" x14ac:dyDescent="0.25">
      <c r="B23" s="29">
        <v>8</v>
      </c>
      <c r="C23" s="70">
        <v>43101</v>
      </c>
      <c r="D23" s="139">
        <f t="shared" si="3"/>
        <v>50000</v>
      </c>
      <c r="E23" s="136">
        <f t="shared" si="4"/>
        <v>-5000</v>
      </c>
      <c r="F23" s="43">
        <f ca="1">IF(OFFSET(B23,1,)=9,SUM(D23:E23),SUM(D23:E23)+$B$8)</f>
        <v>45000</v>
      </c>
      <c r="G23" s="131">
        <f t="shared" ca="1" si="5"/>
        <v>210000</v>
      </c>
      <c r="H23" s="42">
        <f t="shared" ca="1" si="0"/>
        <v>8</v>
      </c>
      <c r="I23" s="116">
        <f ca="1">SUM($F$15:F23)/-$F$15</f>
        <v>1.4</v>
      </c>
      <c r="J23" s="58">
        <f t="shared" si="6"/>
        <v>0.46650738020973315</v>
      </c>
      <c r="K23" s="33">
        <f t="shared" ca="1" si="1"/>
        <v>20992.83210943799</v>
      </c>
      <c r="L23" s="131">
        <f t="shared" ca="1" si="7"/>
        <v>90071.678905619905</v>
      </c>
      <c r="M23" s="42">
        <f t="shared" ca="1" si="2"/>
        <v>8</v>
      </c>
      <c r="N23" s="116">
        <f ca="1">SUM($K$15:K23)/-$F$15</f>
        <v>0.60047785937079934</v>
      </c>
      <c r="O23" s="86">
        <f t="shared" ca="1" si="8"/>
        <v>0.13995221406291994</v>
      </c>
      <c r="P23" s="1"/>
    </row>
    <row r="24" spans="1:16" x14ac:dyDescent="0.25">
      <c r="B24" s="29">
        <v>9</v>
      </c>
      <c r="C24" s="70">
        <v>43466</v>
      </c>
      <c r="D24" s="139">
        <f t="shared" si="3"/>
        <v>50000</v>
      </c>
      <c r="E24" s="136">
        <f t="shared" si="4"/>
        <v>-5000</v>
      </c>
      <c r="F24" s="43">
        <f ca="1">IF(OFFSET(B24,1,)=10,SUM(D24:E24),SUM(D24:E24)+$B$8)</f>
        <v>45000</v>
      </c>
      <c r="G24" s="131">
        <f t="shared" ca="1" si="5"/>
        <v>255000</v>
      </c>
      <c r="H24" s="42">
        <f t="shared" ca="1" si="0"/>
        <v>9</v>
      </c>
      <c r="I24" s="116">
        <f ca="1">SUM($F$15:F24)/-$F$15</f>
        <v>1.7</v>
      </c>
      <c r="J24" s="58">
        <f t="shared" ref="J24:J25" si="9">IF($B$1="да",1/(1+$B$6)^((C24-$C$15)/$B$29),1/(1+$B$6)^B24)</f>
        <v>0.42409761837248466</v>
      </c>
      <c r="K24" s="33">
        <f t="shared" ca="1" si="1"/>
        <v>19084.39282676181</v>
      </c>
      <c r="L24" s="131">
        <f t="shared" ca="1" si="7"/>
        <v>109156.07173238171</v>
      </c>
      <c r="M24" s="42">
        <f t="shared" ca="1" si="2"/>
        <v>9</v>
      </c>
      <c r="N24" s="116">
        <f ca="1">SUM($K$15:K24)/-$F$15</f>
        <v>0.72770714488254473</v>
      </c>
      <c r="O24" s="86">
        <f t="shared" ca="1" si="8"/>
        <v>0.12722928551174539</v>
      </c>
      <c r="P24" s="1"/>
    </row>
    <row r="25" spans="1:16" x14ac:dyDescent="0.25">
      <c r="B25" s="44">
        <v>10</v>
      </c>
      <c r="C25" s="71">
        <v>43831</v>
      </c>
      <c r="D25" s="140">
        <f t="shared" si="3"/>
        <v>50000</v>
      </c>
      <c r="E25" s="137">
        <f t="shared" si="4"/>
        <v>-5000</v>
      </c>
      <c r="F25" s="43">
        <f>SUM(D25:E25)+$B$8</f>
        <v>45000</v>
      </c>
      <c r="G25" s="132">
        <f t="shared" ca="1" si="5"/>
        <v>300000</v>
      </c>
      <c r="H25" s="45">
        <f t="shared" ca="1" si="0"/>
        <v>10</v>
      </c>
      <c r="I25" s="118">
        <f ca="1">SUM($F$15:F25)/-$F$15</f>
        <v>2</v>
      </c>
      <c r="J25" s="58">
        <f t="shared" si="9"/>
        <v>0.38554328942953148</v>
      </c>
      <c r="K25" s="69">
        <f t="shared" si="1"/>
        <v>17349.448024328918</v>
      </c>
      <c r="L25" s="132">
        <f t="shared" ca="1" si="7"/>
        <v>126505.51975671062</v>
      </c>
      <c r="M25" s="42">
        <f t="shared" ca="1" si="2"/>
        <v>10</v>
      </c>
      <c r="N25" s="118">
        <f ca="1">SUM($K$15:K25)/-$F$15</f>
        <v>0.84337013171140418</v>
      </c>
      <c r="O25" s="86">
        <f t="shared" si="8"/>
        <v>0.11566298682885945</v>
      </c>
      <c r="P25" s="1"/>
    </row>
    <row r="26" spans="1:16" x14ac:dyDescent="0.25">
      <c r="B26" s="91"/>
      <c r="C26" s="92" t="s">
        <v>19</v>
      </c>
      <c r="D26" s="93">
        <f>SUM(D15:D25)</f>
        <v>500000</v>
      </c>
      <c r="E26" s="94"/>
      <c r="F26" s="88">
        <f ca="1">SUM(F15:F25)</f>
        <v>300000</v>
      </c>
      <c r="G26" s="95"/>
      <c r="H26" s="88"/>
      <c r="I26" s="117">
        <f ca="1">OFFSET(I26,-1,)</f>
        <v>2</v>
      </c>
      <c r="J26" s="143"/>
      <c r="K26" s="96">
        <f ca="1">SUM(K15:K25)</f>
        <v>126505.51975671062</v>
      </c>
      <c r="L26" s="95"/>
      <c r="M26" s="88"/>
      <c r="N26" s="117">
        <f ca="1">OFFSET(N26,-1,)</f>
        <v>0.84337013171140418</v>
      </c>
      <c r="O26" s="83">
        <f ca="1">SUM(O16:O25)</f>
        <v>1.843370131711404</v>
      </c>
      <c r="P26" s="12"/>
    </row>
    <row r="27" spans="1:16" x14ac:dyDescent="0.25">
      <c r="A27" s="7" t="s">
        <v>33</v>
      </c>
      <c r="F27" s="100"/>
      <c r="I27" s="16"/>
    </row>
    <row r="28" spans="1:16" x14ac:dyDescent="0.25">
      <c r="A28" s="64" t="s">
        <v>29</v>
      </c>
      <c r="B28" s="124">
        <f>IF(B1="да",(C25-C15)/B29,MAX(B15:B25))</f>
        <v>10</v>
      </c>
      <c r="C28" t="s">
        <v>30</v>
      </c>
    </row>
    <row r="29" spans="1:16" x14ac:dyDescent="0.25">
      <c r="A29" s="64" t="s">
        <v>63</v>
      </c>
      <c r="B29" s="65">
        <v>365</v>
      </c>
      <c r="C29" t="s">
        <v>67</v>
      </c>
    </row>
    <row r="31" spans="1:16" x14ac:dyDescent="0.25">
      <c r="A31"/>
      <c r="B31" s="14" t="s">
        <v>0</v>
      </c>
      <c r="C31" t="s">
        <v>8</v>
      </c>
    </row>
    <row r="32" spans="1:16" x14ac:dyDescent="0.25">
      <c r="A32" s="81"/>
      <c r="B32" s="13">
        <f ca="1">IF(B1="нет",F15+NPV(B6,F16:F25),XNPV(B6,F15:F25,C15:C25))</f>
        <v>126505.51975671062</v>
      </c>
      <c r="C32" s="28" t="s">
        <v>31</v>
      </c>
      <c r="E32" t="s">
        <v>2</v>
      </c>
    </row>
    <row r="33" spans="1:8" x14ac:dyDescent="0.25">
      <c r="A33" s="82"/>
      <c r="C33" s="54" t="str">
        <f>IF(B1="нет","2 способ.","")</f>
        <v>2 способ.</v>
      </c>
      <c r="D33" s="55">
        <f ca="1">IF(B1="нет",K26,"")</f>
        <v>126505.51975671062</v>
      </c>
      <c r="E33" t="s">
        <v>34</v>
      </c>
    </row>
    <row r="34" spans="1:8" x14ac:dyDescent="0.25">
      <c r="C34" s="56" t="str">
        <f>IF(B1="нет",IF(B2="да","3 способ.",""),"")</f>
        <v>3 способ.</v>
      </c>
      <c r="D34" s="57">
        <f>IF(B1="нет",IF(B2="да",B9-PV(B6,B28,B11+B10),""),"")</f>
        <v>126505.5197567108</v>
      </c>
      <c r="E34" t="s">
        <v>7</v>
      </c>
    </row>
    <row r="35" spans="1:8" x14ac:dyDescent="0.25">
      <c r="C35" s="56" t="str">
        <f>IF(B1="нет",IF(B2="да","4 способ.",""),"")</f>
        <v>4 способ.</v>
      </c>
      <c r="D35" s="55">
        <f>IF(B1="нет",IF(B2="да",((1-(1+B6)^(-B28))/B6)*(B11+B10)+B9,""),"")</f>
        <v>126505.51975671086</v>
      </c>
      <c r="E35" t="s">
        <v>6</v>
      </c>
    </row>
    <row r="36" spans="1:8" x14ac:dyDescent="0.25">
      <c r="A36"/>
    </row>
    <row r="37" spans="1:8" x14ac:dyDescent="0.25">
      <c r="A37" s="101" t="s">
        <v>38</v>
      </c>
      <c r="B37" s="102">
        <f ca="1">SUM(K16:K25)/-F15</f>
        <v>1.8433701317114042</v>
      </c>
      <c r="C37" t="s">
        <v>70</v>
      </c>
    </row>
    <row r="39" spans="1:8" x14ac:dyDescent="0.25">
      <c r="A39" s="119" t="s">
        <v>61</v>
      </c>
      <c r="B39" s="120">
        <f ca="1">I26</f>
        <v>2</v>
      </c>
      <c r="C39" t="s">
        <v>72</v>
      </c>
    </row>
    <row r="40" spans="1:8" x14ac:dyDescent="0.25">
      <c r="A40" s="121" t="s">
        <v>62</v>
      </c>
      <c r="B40" s="122">
        <f ca="1">N26</f>
        <v>0.84337013171140418</v>
      </c>
      <c r="C40" t="s">
        <v>71</v>
      </c>
    </row>
    <row r="41" spans="1:8" s="100" customFormat="1" x14ac:dyDescent="0.25">
      <c r="A41" s="98"/>
      <c r="B41" s="99"/>
    </row>
    <row r="42" spans="1:8" x14ac:dyDescent="0.25">
      <c r="A42" s="63" t="s">
        <v>68</v>
      </c>
      <c r="B42" s="19" t="str">
        <f ca="1">IF(F15&lt;=0,IF(B10&lt;=0,IF(AND(B32&gt;0,B37&gt;1),"Лучше вкладываться в проект, если нет альтернативного проекта с большими NPV, PI, DPI и IRR",IF(OR(B32&lt;0,B37&lt;1),"Проект убыточный","Проект не убыточный, но и не прибыльный")),"Ошибка: оттоки денежных средств должны быть с минусом"),"Ошибка: прединвестиционные затраты должны быть с минусом")</f>
        <v>Лучше вкладываться в проект, если нет альтернативного проекта с большими NPV, PI, DPI и IRR</v>
      </c>
      <c r="C42" s="20"/>
      <c r="D42" s="20"/>
      <c r="E42" s="20"/>
      <c r="F42" s="20"/>
      <c r="G42" s="20"/>
      <c r="H42" s="20"/>
    </row>
    <row r="43" spans="1:8" x14ac:dyDescent="0.25">
      <c r="A43"/>
    </row>
    <row r="44" spans="1:8" x14ac:dyDescent="0.25">
      <c r="A44" s="15" t="s">
        <v>1</v>
      </c>
      <c r="B44" s="25">
        <f ca="1">IF(B1="нет",IRR(F15:F25),XIRR(F15:F25,C15:C25))</f>
        <v>0.27319842410498696</v>
      </c>
      <c r="C44" t="s">
        <v>54</v>
      </c>
    </row>
    <row r="45" spans="1:8" x14ac:dyDescent="0.25">
      <c r="A45" s="26" t="str">
        <f>IF(B3="да","MIRR=","")</f>
        <v/>
      </c>
      <c r="B45" s="27" t="str">
        <f>IF(B3="да",MIRR(F15:F25,B6,B7),"")</f>
        <v/>
      </c>
      <c r="C45" t="str">
        <f>IF(B3="да","(Модифицированная внутренняя норма доходности (МВНД), учитывает ставку реинвестирования, не учитывает даты платежей)","")</f>
        <v/>
      </c>
    </row>
    <row r="47" spans="1:8" x14ac:dyDescent="0.25">
      <c r="A47" s="111" t="s">
        <v>46</v>
      </c>
      <c r="B47" s="112">
        <f>(D26+SUM(E16:E25))/E2</f>
        <v>45000</v>
      </c>
      <c r="C47" t="s">
        <v>47</v>
      </c>
    </row>
    <row r="49" spans="1:7" x14ac:dyDescent="0.25">
      <c r="B49" s="108" t="s">
        <v>40</v>
      </c>
      <c r="C49" t="s">
        <v>55</v>
      </c>
    </row>
    <row r="50" spans="1:7" x14ac:dyDescent="0.25">
      <c r="A50" s="106" t="s">
        <v>41</v>
      </c>
      <c r="B50" s="109">
        <f>IF(B8=0,B47/(-F15),B47/(0.5*(-F15-$B$8)))</f>
        <v>0.3</v>
      </c>
      <c r="C50" t="s">
        <v>43</v>
      </c>
    </row>
    <row r="51" spans="1:7" x14ac:dyDescent="0.25">
      <c r="A51" s="107" t="s">
        <v>45</v>
      </c>
      <c r="B51" s="110">
        <f>B47/(0.5*(-F15-$B$8))</f>
        <v>0.6</v>
      </c>
      <c r="C51" t="s">
        <v>44</v>
      </c>
    </row>
    <row r="52" spans="1:7" x14ac:dyDescent="0.25">
      <c r="A52" s="103"/>
      <c r="B52" s="104"/>
    </row>
    <row r="53" spans="1:7" x14ac:dyDescent="0.25">
      <c r="A53"/>
      <c r="B53" s="48" t="s">
        <v>20</v>
      </c>
      <c r="C53" t="s">
        <v>75</v>
      </c>
      <c r="D53" s="17"/>
      <c r="E53" s="18"/>
    </row>
    <row r="54" spans="1:7" x14ac:dyDescent="0.25">
      <c r="A54" s="30" t="s">
        <v>22</v>
      </c>
      <c r="B54" s="75">
        <f ca="1">IF(B32&lt;0,"не окупается",(MATCH(VLOOKUP(0,G15:G25,1,TRUE),G15:G25))-((INDEX(G15:H25,MATCH(VLOOKUP(0,G15:G25,1,TRUE),G15:G25)+1,1))/((ABS(VLOOKUP(0,G15:G25,1,TRUE)))+INDEX(G15:H25,MATCH(VLOOKUP(0,G15:G25,1,TRUE),G15:G25)+1,1))))</f>
        <v>3.3333333333333335</v>
      </c>
      <c r="C54" s="51" t="str">
        <f ca="1">IF(B54="не окупается","",IF(B1="да","периода",IF(OR(INT(B54)=1),"год",IF(OR(INT(B54)=2,INT(B54)=3,INT(B54)=4),"года","лет"))))</f>
        <v>года</v>
      </c>
      <c r="D54" s="126" t="str">
        <f>IF(B1="нет","","Внимание!!! Ввиду учёта дат платежей, указано не количество лет, а в каком периоде окупится проект.")</f>
        <v/>
      </c>
    </row>
    <row r="55" spans="1:7" x14ac:dyDescent="0.25">
      <c r="A55" s="46" t="s">
        <v>25</v>
      </c>
      <c r="B55" s="75" t="str">
        <f ca="1">IF(B54="не окупается","",IF(B1="да","",IF(INT(B54)=0,"",B57&amp;C57)&amp;D57&amp;E57&amp;F57&amp;G57))</f>
        <v xml:space="preserve">3 года 4 месяца 0 дней </v>
      </c>
      <c r="C55" s="52"/>
      <c r="D55" s="47" t="s">
        <v>35</v>
      </c>
    </row>
    <row r="56" spans="1:7" x14ac:dyDescent="0.25">
      <c r="A56" s="46" t="s">
        <v>23</v>
      </c>
      <c r="B56" s="49">
        <f ca="1">IF(B54="не окупается","",IF(B1="да","",ROUND((B54)*B29,0)))</f>
        <v>1217</v>
      </c>
      <c r="C56" s="51" t="str">
        <f ca="1">IF(B54="не окупается","",IF(B1="да","",IF(OR(B56=1),"день",IF(OR(B56=2,B56=3,B56=4),"дня","дней"))))</f>
        <v>дней</v>
      </c>
    </row>
    <row r="57" spans="1:7" x14ac:dyDescent="0.25">
      <c r="A57" s="46" t="s">
        <v>24</v>
      </c>
      <c r="B57" s="50">
        <f ca="1">IF(B54="не окупается","",IF(B1="да","",IF(INT(B54)=0,"",INT(B54))))</f>
        <v>3</v>
      </c>
      <c r="C57" s="50" t="str">
        <f ca="1">IF(B54="не окупается","",IF(B1="да","",IF(INT(B54)=0,"",IF(OR(B57=1)," год ",IF(OR(B57=2,B57=3,B57=4)," года "," лет ")))))</f>
        <v xml:space="preserve"> года </v>
      </c>
      <c r="D57" s="50">
        <f ca="1">IF(B54="не окупается","",IF(B1="да","",INT((B54-INT(B54))*12)))</f>
        <v>4</v>
      </c>
      <c r="E57" s="50" t="str">
        <f ca="1">IF(B54="не окупается","",IF(B1="да","",IF(OR(D57=1)," месяц ",IF(OR(D57=2,D57=3,D57=4)," месяца "," месяцев "))))</f>
        <v xml:space="preserve"> месяца </v>
      </c>
      <c r="F57" s="50">
        <f ca="1">IF(B54="не окупается","",IF(B1="да","",ROUND((B54-INT(B54)-D57/12)*B29,0)))</f>
        <v>0</v>
      </c>
      <c r="G57" s="50" t="str">
        <f ca="1">IF(B54="не окупается","",IF(B1="да","",IF(OR(F57=1)," день ",IF(OR(F57=2,F57=3,F57=4)," дня "," дней "))))</f>
        <v xml:space="preserve"> дней </v>
      </c>
    </row>
    <row r="58" spans="1:7" x14ac:dyDescent="0.25">
      <c r="A58"/>
    </row>
    <row r="59" spans="1:7" x14ac:dyDescent="0.25">
      <c r="A59"/>
      <c r="B59" s="40" t="s">
        <v>26</v>
      </c>
      <c r="C59" t="s">
        <v>76</v>
      </c>
    </row>
    <row r="60" spans="1:7" x14ac:dyDescent="0.25">
      <c r="A60" s="30" t="s">
        <v>22</v>
      </c>
      <c r="B60" s="74">
        <f ca="1">IF(B32&lt;0,"не окупается",(MATCH(VLOOKUP(0,L15:L25,1,TRUE),L15:L25))-((INDEX(L15:M25,MATCH(VLOOKUP(0,L15:L25,1,TRUE),L15:L25)+1,1))/((ABS(VLOOKUP(0,L15:L25,1,TRUE)))+INDEX(L15:M25,MATCH(VLOOKUP(0,L15:L25,1,TRUE),L15:L25)+1,1))))</f>
        <v>4.2632666666666674</v>
      </c>
      <c r="C60" s="37" t="str">
        <f ca="1">IF(B60="не окупается","",IF(B1="да","периода",IF(OR(INT(B60)=1),"год",IF(OR(INT(B60)=2,INT(B60)=3,INT(B60)=4),"года","лет"))))</f>
        <v>года</v>
      </c>
      <c r="D60" s="127" t="str">
        <f>IF(B1="нет","","Внимание!!! Ввиду учёта дат платежей, указано не количество лет, а в каком периоде окупится проект.")</f>
        <v/>
      </c>
      <c r="F60" s="34"/>
    </row>
    <row r="61" spans="1:7" x14ac:dyDescent="0.25">
      <c r="A61" s="46" t="s">
        <v>25</v>
      </c>
      <c r="B61" s="36" t="str">
        <f ca="1">IF(B60="не окупается","",IF(B1="да","",IF(INT(B60)=0,"",INT(B60)&amp;C63)&amp;D63&amp;E63&amp;F63&amp;G63))</f>
        <v xml:space="preserve">4 года 3 месяца 5 дней </v>
      </c>
      <c r="C61" s="37"/>
      <c r="D61" s="47" t="s">
        <v>35</v>
      </c>
    </row>
    <row r="62" spans="1:7" x14ac:dyDescent="0.25">
      <c r="A62" s="46" t="s">
        <v>23</v>
      </c>
      <c r="B62" s="36">
        <f ca="1">IF(B60="не окупается","",IF(B1="да","",ROUND((B60)*B29,0)))</f>
        <v>1556</v>
      </c>
      <c r="C62" s="38" t="str">
        <f ca="1">IF(B60="не окупается","",IF(B1="да","",IF(OR(B62=1),"день",IF(OR(B62=2,B62=3,B62=4),"дня","дней"))))</f>
        <v>дней</v>
      </c>
      <c r="D62" s="36"/>
    </row>
    <row r="63" spans="1:7" x14ac:dyDescent="0.25">
      <c r="A63" s="46" t="s">
        <v>24</v>
      </c>
      <c r="B63" s="35">
        <f ca="1">IF(B60="не окупается","",IF(B1="да","",IF(INT(B60)=0,"",INT(B60))))</f>
        <v>4</v>
      </c>
      <c r="C63" s="38" t="str">
        <f ca="1">IF(B60="не окупается","",IF(B1="да","",IF(INT(B60)=0,"",IF(OR(B63=1)," год ",IF(OR(B63=2,B63=3,B63=4)," года "," лет ")))))</f>
        <v xml:space="preserve"> года </v>
      </c>
      <c r="D63" s="39">
        <f ca="1">IF(B60="не окупается","",IF(B1="да","",INT((B60-INT(B60))*12)))</f>
        <v>3</v>
      </c>
      <c r="E63" s="38" t="str">
        <f ca="1">IF(B60="не окупается","",IF(B1="да","",IF(OR(D63=1)," месяц ",IF(OR(D63=2,D63=3,D63=4)," месяца "," месяцев "))))</f>
        <v xml:space="preserve"> месяца </v>
      </c>
      <c r="F63" s="39">
        <f ca="1">IF(B60="не окупается","",IF(B1="да","",ROUND((B60-INT(B60)-D63/12)*B29,0)))</f>
        <v>5</v>
      </c>
      <c r="G63" s="38" t="str">
        <f ca="1">IF(B60="не окупается","",IF(B1="да","",IF(OR(F63=1)," день ",IF(OR(F63=2,F63=3,F63=4)," дня "," дней "))))</f>
        <v xml:space="preserve"> дней </v>
      </c>
    </row>
    <row r="64" spans="1:7" x14ac:dyDescent="0.25">
      <c r="A64"/>
    </row>
    <row r="65" spans="1:6" x14ac:dyDescent="0.25">
      <c r="A65" s="114" t="s">
        <v>48</v>
      </c>
      <c r="B65" s="3" t="s">
        <v>49</v>
      </c>
    </row>
    <row r="66" spans="1:6" x14ac:dyDescent="0.25">
      <c r="A66"/>
      <c r="B66" s="3" t="s">
        <v>50</v>
      </c>
    </row>
    <row r="67" spans="1:6" x14ac:dyDescent="0.25">
      <c r="A67"/>
      <c r="B67" s="3" t="s">
        <v>51</v>
      </c>
    </row>
    <row r="68" spans="1:6" x14ac:dyDescent="0.25">
      <c r="B68" s="3" t="s">
        <v>69</v>
      </c>
      <c r="E68" s="76"/>
      <c r="F68" s="76"/>
    </row>
    <row r="69" spans="1:6" x14ac:dyDescent="0.25">
      <c r="B69" s="3" t="s">
        <v>60</v>
      </c>
      <c r="E69" s="76"/>
    </row>
    <row r="70" spans="1:6" x14ac:dyDescent="0.25">
      <c r="B70" s="3" t="s">
        <v>53</v>
      </c>
    </row>
    <row r="71" spans="1:6" x14ac:dyDescent="0.25">
      <c r="B71" s="3" t="s">
        <v>52</v>
      </c>
      <c r="E71" s="77"/>
    </row>
  </sheetData>
  <mergeCells count="2">
    <mergeCell ref="G2:H2"/>
    <mergeCell ref="G12:H12"/>
  </mergeCells>
  <dataValidations count="1">
    <dataValidation type="list" allowBlank="1" showInputMessage="1" showErrorMessage="1" sqref="B1:B3">
      <formula1>"да,нет"</formula1>
    </dataValidation>
  </dataValidations>
  <hyperlinks>
    <hyperlink ref="B66" r:id="rId1"/>
    <hyperlink ref="B67" r:id="rId2"/>
    <hyperlink ref="B68" r:id="rId3"/>
    <hyperlink ref="B71" r:id="rId4"/>
    <hyperlink ref="B65" r:id="rId5"/>
    <hyperlink ref="B70" r:id="rId6"/>
    <hyperlink ref="B69" r:id="rId7" display="про i"/>
  </hyperlinks>
  <pageMargins left="0.7" right="0.7" top="0.75" bottom="0.75" header="0.3" footer="0.3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2013-11-14T18:16:17Z</dcterms:created>
  <dcterms:modified xsi:type="dcterms:W3CDTF">2014-06-23T18:45:04Z</dcterms:modified>
</cp:coreProperties>
</file>