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65" windowHeight="5010" activeTab="0"/>
  </bookViews>
  <sheets>
    <sheet name="ВводДанных" sheetId="1" r:id="rId1"/>
    <sheet name="ОценКоэф" sheetId="2" r:id="rId2"/>
    <sheet name="РасчБаза" sheetId="3" state="hidden" r:id="rId3"/>
  </sheets>
  <definedNames>
    <definedName name="БАЗА">'РасчБаза'!$B$11:$N$73</definedName>
    <definedName name="кварт">#REF!</definedName>
    <definedName name="_xlnm.Print_Area" localSheetId="0">'ВводДанных'!$B$15:$Z$201</definedName>
    <definedName name="_xlnm.Print_Area" localSheetId="1">'ОценКоэф'!$B$2:$F$256</definedName>
  </definedNames>
  <calcPr fullCalcOnLoad="1"/>
</workbook>
</file>

<file path=xl/comments2.xml><?xml version="1.0" encoding="utf-8"?>
<comments xmlns="http://schemas.openxmlformats.org/spreadsheetml/2006/main">
  <authors>
    <author>NeverovaAA</author>
  </authors>
  <commentList>
    <comment ref="C219" authorId="0">
      <text>
        <r>
          <rPr>
            <b/>
            <sz val="8"/>
            <rFont val="Tahoma"/>
            <family val="0"/>
          </rPr>
          <t>NeverovaAA:</t>
        </r>
        <r>
          <rPr>
            <sz val="8"/>
            <rFont val="Tahoma"/>
            <family val="0"/>
          </rPr>
          <t xml:space="preserve">
предприятия, чьи кредиты и обязательства подкреплены информацией, позволяющей быть уверенными в возврате кредитов и выполнении других обязательств в соответствии с договорами с хорошим запасом на возможную ошибку</t>
        </r>
      </text>
    </comment>
    <comment ref="C226" authorId="0">
      <text>
        <r>
          <rPr>
            <b/>
            <sz val="8"/>
            <rFont val="Tahoma"/>
            <family val="0"/>
          </rPr>
          <t>NeverovaAA:</t>
        </r>
        <r>
          <rPr>
            <sz val="8"/>
            <rFont val="Tahoma"/>
            <family val="0"/>
          </rPr>
          <t xml:space="preserve">
предприятия, демонстрирующие некото-
рый уровень риска по задолженности и обязательствам, и обнаруживающие
определенную слабость финансовых показателей и кредитоспособности. Эти
предприятия еще не рассматриваются как рискованные.
</t>
        </r>
      </text>
    </comment>
    <comment ref="C233" authorId="0">
      <text>
        <r>
          <rPr>
            <b/>
            <sz val="8"/>
            <rFont val="Tahoma"/>
            <family val="0"/>
          </rPr>
          <t>NeverovaAA:</t>
        </r>
        <r>
          <rPr>
            <sz val="8"/>
            <rFont val="Tahoma"/>
            <family val="0"/>
          </rPr>
          <t xml:space="preserve">
это проблемные предприятия. Вряд ли
существует угроза потери средств, но полное получение процентов, выпол-
нение обязательств представляется сомнительным.
</t>
        </r>
      </text>
    </comment>
    <comment ref="C240" authorId="0">
      <text>
        <r>
          <rPr>
            <b/>
            <sz val="8"/>
            <rFont val="Tahoma"/>
            <family val="0"/>
          </rPr>
          <t>NeverovaAA:</t>
        </r>
        <r>
          <rPr>
            <sz val="8"/>
            <rFont val="Tahoma"/>
            <family val="0"/>
          </rPr>
          <t xml:space="preserve">
это предприятия особого внимания, так
как имеется риск при взаимоотношениях с ними. Организации, которые мо-гут
потерять средства и проценты даже после принятия мер к оздоровле-нию
</t>
        </r>
      </text>
    </comment>
    <comment ref="C247" authorId="0">
      <text>
        <r>
          <rPr>
            <b/>
            <sz val="8"/>
            <rFont val="Tahoma"/>
            <family val="0"/>
          </rPr>
          <t>NeverovaAA:</t>
        </r>
        <r>
          <rPr>
            <sz val="8"/>
            <rFont val="Tahoma"/>
            <family val="0"/>
          </rPr>
          <t xml:space="preserve">
предприятия высочайшего риска, прак-
тически неплатежеспособные.
</t>
        </r>
      </text>
    </comment>
    <comment ref="C20" authorId="0">
      <text>
        <r>
          <rPr>
            <b/>
            <sz val="8"/>
            <rFont val="Tahoma"/>
            <family val="0"/>
          </rPr>
          <t>NeverovaAA:</t>
        </r>
        <r>
          <rPr>
            <sz val="8"/>
            <rFont val="Tahoma"/>
            <family val="0"/>
          </rPr>
          <t xml:space="preserve">
Списанная в убыток сумма дебиторской задолженности (007 счет) и сумма выданных гарантий и поручительств</t>
        </r>
      </text>
    </comment>
    <comment ref="C21" authorId="0">
      <text>
        <r>
          <rPr>
            <b/>
            <sz val="8"/>
            <rFont val="Tahoma"/>
            <family val="0"/>
          </rPr>
          <t>NeverovaAA:</t>
        </r>
        <r>
          <rPr>
            <sz val="8"/>
            <rFont val="Tahoma"/>
            <family val="0"/>
          </rPr>
          <t xml:space="preserve">
63 счет-сумма просроченной деб.зад-ти/230+240 строки ф.1
</t>
        </r>
      </text>
    </comment>
    <comment ref="C35" authorId="0">
      <text>
        <r>
          <rPr>
            <b/>
            <sz val="8"/>
            <rFont val="Tahoma"/>
            <family val="0"/>
          </rPr>
          <t>NeverovaAA:</t>
        </r>
        <r>
          <rPr>
            <sz val="8"/>
            <rFont val="Tahoma"/>
            <family val="0"/>
          </rPr>
          <t xml:space="preserve">
материальная помощь/490+640 ф.1
</t>
        </r>
      </text>
    </comment>
    <comment ref="E68" authorId="0">
      <text>
        <r>
          <rPr>
            <b/>
            <sz val="8"/>
            <rFont val="Tahoma"/>
            <family val="0"/>
          </rPr>
          <t>NeverovaAA:</t>
        </r>
        <r>
          <rPr>
            <sz val="8"/>
            <rFont val="Tahoma"/>
            <family val="0"/>
          </rPr>
          <t xml:space="preserve">
вручную забить приток денег за период и расход за период (дт 50+51 и кт50+51)
</t>
        </r>
      </text>
    </comment>
    <comment ref="E97" authorId="0">
      <text>
        <r>
          <rPr>
            <b/>
            <sz val="8"/>
            <rFont val="Tahoma"/>
            <family val="0"/>
          </rPr>
          <t>NeverovaAA:</t>
        </r>
        <r>
          <rPr>
            <sz val="8"/>
            <rFont val="Tahoma"/>
            <family val="0"/>
          </rPr>
          <t xml:space="preserve">
выбрать период, 365 для года, 365/2 для полугодия и т.д.
</t>
        </r>
      </text>
    </comment>
    <comment ref="E98" authorId="0">
      <text>
        <r>
          <rPr>
            <b/>
            <sz val="8"/>
            <rFont val="Tahoma"/>
            <family val="0"/>
          </rPr>
          <t>NeverovaAA:</t>
        </r>
        <r>
          <rPr>
            <sz val="8"/>
            <rFont val="Tahoma"/>
            <family val="0"/>
          </rPr>
          <t xml:space="preserve">
выбрать период, 365 для года, 365/2 для полугодия и т.д.</t>
        </r>
      </text>
    </comment>
    <comment ref="E99" authorId="0">
      <text>
        <r>
          <rPr>
            <b/>
            <sz val="8"/>
            <rFont val="Tahoma"/>
            <family val="0"/>
          </rPr>
          <t>NeverovaAA:</t>
        </r>
        <r>
          <rPr>
            <sz val="8"/>
            <rFont val="Tahoma"/>
            <family val="0"/>
          </rPr>
          <t xml:space="preserve">
</t>
        </r>
      </text>
    </comment>
    <comment ref="E100" authorId="0">
      <text>
        <r>
          <rPr>
            <b/>
            <sz val="8"/>
            <rFont val="Tahoma"/>
            <family val="0"/>
          </rPr>
          <t>NeverovaAA:</t>
        </r>
        <r>
          <rPr>
            <sz val="8"/>
            <rFont val="Tahoma"/>
            <family val="0"/>
          </rPr>
          <t xml:space="preserve">
выбрать период, 365 для года, 365/2 для полугодия и т.д.</t>
        </r>
      </text>
    </comment>
    <comment ref="E101" authorId="0">
      <text>
        <r>
          <rPr>
            <b/>
            <sz val="8"/>
            <rFont val="Tahoma"/>
            <family val="0"/>
          </rPr>
          <t>NeverovaAA:</t>
        </r>
        <r>
          <rPr>
            <sz val="8"/>
            <rFont val="Tahoma"/>
            <family val="0"/>
          </rPr>
          <t xml:space="preserve">
выбрать период, 365 для года, 365/2 для полугодия и т.д.</t>
        </r>
      </text>
    </comment>
    <comment ref="E102" authorId="0">
      <text>
        <r>
          <rPr>
            <b/>
            <sz val="8"/>
            <rFont val="Tahoma"/>
            <family val="0"/>
          </rPr>
          <t>NeverovaAA:</t>
        </r>
        <r>
          <rPr>
            <sz val="8"/>
            <rFont val="Tahoma"/>
            <family val="0"/>
          </rPr>
          <t xml:space="preserve">
выбрать период, 365 для года, 365/2 для полугодия и т.д.
</t>
        </r>
      </text>
    </comment>
    <comment ref="E103" authorId="0">
      <text>
        <r>
          <rPr>
            <b/>
            <sz val="8"/>
            <rFont val="Tahoma"/>
            <family val="0"/>
          </rPr>
          <t>NeverovaAA:</t>
        </r>
        <r>
          <rPr>
            <sz val="8"/>
            <rFont val="Tahoma"/>
            <family val="0"/>
          </rPr>
          <t xml:space="preserve">
выбрать период, 365 для года, 365/2 для полугодия и т.д.</t>
        </r>
      </text>
    </comment>
    <comment ref="E104" authorId="0">
      <text>
        <r>
          <rPr>
            <b/>
            <sz val="8"/>
            <rFont val="Tahoma"/>
            <family val="0"/>
          </rPr>
          <t>NeverovaAA:</t>
        </r>
        <r>
          <rPr>
            <sz val="8"/>
            <rFont val="Tahoma"/>
            <family val="0"/>
          </rPr>
          <t xml:space="preserve">
выбрать период, 365 для года, 365/2 для полугодия и т.д.</t>
        </r>
      </text>
    </comment>
    <comment ref="E105" authorId="0">
      <text>
        <r>
          <rPr>
            <b/>
            <sz val="8"/>
            <rFont val="Tahoma"/>
            <family val="0"/>
          </rPr>
          <t>NeverovaAA:</t>
        </r>
        <r>
          <rPr>
            <sz val="8"/>
            <rFont val="Tahoma"/>
            <family val="0"/>
          </rPr>
          <t xml:space="preserve">
выбрать период, 365 для года, 365/2 для полугодия и т.д.</t>
        </r>
      </text>
    </comment>
    <comment ref="E106" authorId="0">
      <text>
        <r>
          <rPr>
            <b/>
            <sz val="8"/>
            <rFont val="Tahoma"/>
            <family val="0"/>
          </rPr>
          <t>NeverovaAA:</t>
        </r>
        <r>
          <rPr>
            <sz val="8"/>
            <rFont val="Tahoma"/>
            <family val="0"/>
          </rPr>
          <t xml:space="preserve">
выбрать период, 365 для года, 365/2 для полугодия и т.д.
</t>
        </r>
      </text>
    </comment>
    <comment ref="E107" authorId="0">
      <text>
        <r>
          <rPr>
            <b/>
            <sz val="8"/>
            <rFont val="Tahoma"/>
            <family val="0"/>
          </rPr>
          <t>NeverovaAA:</t>
        </r>
        <r>
          <rPr>
            <sz val="8"/>
            <rFont val="Tahoma"/>
            <family val="0"/>
          </rPr>
          <t xml:space="preserve">
выбрать период, 365 для года, 365/2 для полугодия и т.д.
</t>
        </r>
      </text>
    </comment>
    <comment ref="E111" authorId="0">
      <text>
        <r>
          <rPr>
            <b/>
            <sz val="8"/>
            <rFont val="Tahoma"/>
            <family val="0"/>
          </rPr>
          <t>NeverovaAA:</t>
        </r>
        <r>
          <rPr>
            <sz val="8"/>
            <rFont val="Tahoma"/>
            <family val="0"/>
          </rPr>
          <t xml:space="preserve">
делить на строку  050 поделенную на период(среденемесячная выручка от продаж
</t>
        </r>
      </text>
    </comment>
    <comment ref="C64" authorId="0">
      <text>
        <r>
          <rPr>
            <b/>
            <sz val="8"/>
            <rFont val="Tahoma"/>
            <family val="2"/>
          </rPr>
          <t xml:space="preserve">Дает общую оценку ликвидности активов, показывая, сколько рублей текущих активов пред-приятия приходится на один рубль текущих обязательств. </t>
        </r>
        <r>
          <rPr>
            <sz val="8"/>
            <rFont val="Tahoma"/>
            <family val="0"/>
          </rPr>
          <t xml:space="preserve">
Коэффициент текущей ликвидности характеризует общую обеспеченность предприятия оборотными средствами для ведения хозяйственной деятельности и своевременного погашения его срочных обязательств.
Структура баланса предприятия признается неудовлетворительной, а предприятие - неплатежеспособным, если выполняется одно из следующих условий:
коэффициент текущей ликвидности на конец отчетного периода имеет значение менее 2; 
коэффициент обеспеченности собственными средствами на конец отчетного периода имеет значение менее 0,1. 
</t>
        </r>
      </text>
    </comment>
    <comment ref="C70" authorId="0">
      <text>
        <r>
          <rPr>
            <b/>
            <sz val="8"/>
            <rFont val="Tahoma"/>
            <family val="0"/>
          </rPr>
          <t>NeverovaAA:</t>
        </r>
        <r>
          <rPr>
            <sz val="8"/>
            <rFont val="Tahoma"/>
            <family val="0"/>
          </rPr>
          <t xml:space="preserve">
Коэффициент восстановления платежеспособности, принимающий значения больше 1, рассчитанный на нормативный период, равный 6 месяцам, свидетельствует о наличии реальной возможности у предприятия восстановить свою платежеспособность. Если этот коэффициент меньше 1, то предприятие в ближайшее время не имеет реальной возможности восстановить платежеспособность.
</t>
        </r>
      </text>
    </comment>
    <comment ref="C69" authorId="0">
      <text>
        <r>
          <rPr>
            <b/>
            <sz val="8"/>
            <rFont val="Tahoma"/>
            <family val="0"/>
          </rPr>
          <t>NeverovaAA:</t>
        </r>
        <r>
          <rPr>
            <sz val="8"/>
            <rFont val="Tahoma"/>
            <family val="0"/>
          </rPr>
          <t xml:space="preserve">
Коэффициент утраты платежеспособности, принимающий значение больше 1, рассчитанный за период, равный 3 месяцам, свидетельствует о наличии реальной возможности у предприятия не утратить платежеспособность. Если этот коэффициент меньше 1, то предприятие в ближайшее время может утратить платежеспособность.
</t>
        </r>
      </text>
    </comment>
    <comment ref="C65" authorId="0">
      <text>
        <r>
          <rPr>
            <b/>
            <sz val="8"/>
            <rFont val="Tahoma"/>
            <family val="0"/>
          </rPr>
          <t xml:space="preserve">Это денежные средства, которые можно выручить в случае вынужденной реализации производственных запасов, мо-гут быть существенно ниже затрат по их приобретению. 
По смысловому назначению показатель аналогичен коэффициенту текущей ликвидности; однако исчисляется по более узкому кругу текущих активов, когда из расчета исключена наиме
нее ликвидная их часть — производственные запасы. 
</t>
        </r>
        <r>
          <rPr>
            <sz val="8"/>
            <rFont val="Tahoma"/>
            <family val="0"/>
          </rPr>
          <t xml:space="preserve">
</t>
        </r>
      </text>
    </comment>
    <comment ref="C66" authorId="0">
      <text>
        <r>
          <rPr>
            <b/>
            <sz val="8"/>
            <rFont val="Tahoma"/>
            <family val="0"/>
          </rPr>
          <t xml:space="preserve">Является наиболее жестким критерием ликвидности предприятия; показывает, какая часть краткосрочных заемных обязательств может быть при необходимости погашена немедленно. 
</t>
        </r>
      </text>
    </comment>
    <comment ref="C55" authorId="0">
      <text>
        <r>
          <rPr>
            <sz val="8"/>
            <rFont val="Tahoma"/>
            <family val="0"/>
          </rPr>
          <t xml:space="preserve">Данный коэффициент показывает, какая часть объема собственных оборотных средств (в специальной литературе их иногда еще называют функционирующим, или работающим, капиталом) приходится на наиболее мобильную составляющую текущих активов - денежные средства
</t>
        </r>
        <r>
          <rPr>
            <b/>
            <sz val="8"/>
            <rFont val="Tahoma"/>
            <family val="2"/>
          </rPr>
          <t xml:space="preserve">Уменьшение этого коэффициента </t>
        </r>
        <r>
          <rPr>
            <sz val="8"/>
            <rFont val="Tahoma"/>
            <family val="0"/>
          </rPr>
          <t xml:space="preserve">указывает на возможное замедление погашения дебиторской задолженности или ужесточение условий предоставления товарного кредита со стороны поставщиков и подрядчиков, а </t>
        </r>
        <r>
          <rPr>
            <b/>
            <sz val="8"/>
            <rFont val="Tahoma"/>
            <family val="2"/>
          </rPr>
          <t xml:space="preserve">увеличение </t>
        </r>
        <r>
          <rPr>
            <sz val="8"/>
            <rFont val="Tahoma"/>
            <family val="0"/>
          </rPr>
          <t xml:space="preserve">свидетельствует о растущей возможности отвечать по текущим обязательствам
</t>
        </r>
      </text>
    </comment>
    <comment ref="C45" authorId="0">
      <text>
        <r>
          <rPr>
            <sz val="8"/>
            <rFont val="Tahoma"/>
            <family val="0"/>
          </rPr>
          <t xml:space="preserve">Величина собственных оборотных средств отражает долю средств, принадлежащих предприятию, в его текущих активах и является одной из характеристик финансовой устойчивости
</t>
        </r>
      </text>
    </comment>
    <comment ref="C85" authorId="0">
      <text>
        <r>
          <rPr>
            <sz val="8"/>
            <rFont val="Tahoma"/>
            <family val="0"/>
          </rPr>
          <t xml:space="preserve">Если полученный коэффициент слишком высок (по сравнению с предыдущим периодом или со средними данными), это может указывать на недостаточность запасов. Если же коэффициент слишком низок, то это может означать, что товарные запасы велики или не пользуются спросом. Например, </t>
        </r>
        <r>
          <rPr>
            <b/>
            <sz val="8"/>
            <rFont val="Tahoma"/>
            <family val="2"/>
          </rPr>
          <t>коэффициент, равный 3, означает, что данный товар или группа товаров в течение месяца оборачивается 3 раза.</t>
        </r>
        <r>
          <rPr>
            <sz val="8"/>
            <rFont val="Tahoma"/>
            <family val="0"/>
          </rPr>
          <t xml:space="preserve">
Для повышения оборачиваемости запасов можно использовать следующие методы: 
1. Снижение запасов проудкции на складе.
2. Этот способ повышения оборачиваемости применим не только для нее: снижение ставки по заемным средствам, льготирование кредитов под оборотные средства и т.д. </t>
        </r>
      </text>
    </comment>
    <comment ref="C104" authorId="0">
      <text>
        <r>
          <rPr>
            <sz val="8"/>
            <rFont val="Tahoma"/>
            <family val="0"/>
          </rPr>
          <t xml:space="preserve">Оборачиваемость кредиторской задолженности - показатель, связывающий сумму денег, которую организация должна вернуть кредиторам (в основном, поставщикам) к определенному сроку, и текущую величину закупок либо приобретенных у кредиторов товаров/услуг. Как правило, данный показатель бывает выражен в календарных днях, характеризующих средний срок оплаты за товары и/или услуги, приобретенные в кредит. 
</t>
        </r>
      </text>
    </comment>
    <comment ref="C108" authorId="0">
      <text>
        <r>
          <rPr>
            <sz val="8"/>
            <rFont val="Tahoma"/>
            <family val="2"/>
          </rPr>
          <t xml:space="preserve">Операционный цикл равен времени между закупкой сырья и материалов или товаров и получением выручки от реализации продукции. </t>
        </r>
        <r>
          <rPr>
            <sz val="8"/>
            <rFont val="Tahoma"/>
            <family val="0"/>
          </rPr>
          <t xml:space="preserve">
</t>
        </r>
        <r>
          <rPr>
            <b/>
            <sz val="8"/>
            <rFont val="Tahoma"/>
            <family val="2"/>
          </rPr>
          <t>При снижении операционного цикла</t>
        </r>
        <r>
          <rPr>
            <sz val="8"/>
            <rFont val="Tahoma"/>
            <family val="0"/>
          </rPr>
          <t xml:space="preserve"> при прочих равных условиях снижается время между закупкой сырья и полочением выручки, вследствие чего </t>
        </r>
        <r>
          <rPr>
            <b/>
            <sz val="8"/>
            <rFont val="Tahoma"/>
            <family val="2"/>
          </rPr>
          <t>растет рентабельность</t>
        </r>
        <r>
          <rPr>
            <sz val="8"/>
            <rFont val="Tahoma"/>
            <family val="0"/>
          </rPr>
          <t xml:space="preserve">. Соответственно снижение данного показателя в днях благоприятно характеризует деятельность организации </t>
        </r>
      </text>
    </comment>
    <comment ref="C109" authorId="0">
      <text>
        <r>
          <rPr>
            <sz val="8"/>
            <rFont val="Tahoma"/>
            <family val="0"/>
          </rPr>
          <t xml:space="preserve">Финансовый цикл - начинается с момента оплаты поставщикам материалов (погашение кредиторской задолженности), заканчивается в момент получения денег от покупателей за отгруженную продукцию (погашение дебиторской задолженности). 
</t>
        </r>
      </text>
    </comment>
    <comment ref="C80" authorId="0">
      <text>
        <r>
          <rPr>
            <b/>
            <sz val="8"/>
            <rFont val="Tahoma"/>
            <family val="0"/>
          </rPr>
          <t>NeverovaAA:</t>
        </r>
        <r>
          <rPr>
            <sz val="8"/>
            <rFont val="Tahoma"/>
            <family val="0"/>
          </rPr>
          <t xml:space="preserve">
Деловая активность предприятия в финансовом аспекте проявляется прежде всего в скорости оборота его средств. Рентабельность предприятия отражает степень прибыльности его деятельности. Анализ деловой активности и рентабельности заключается в исследовании уровней и динамики разнообразных финансовых коэффициентов оборачиваемости и рентабельности, которые являются относительными показателями финансовых результатов деятельности предприятия. 
Коэффициенты деловой активности позволяют проанализировать, на сколько эффективно предприятие использует свои средства. Коэффициенты могут выражаться в днях, а также в количестве оборотов того либо иного ресурса предприятия за анализируемый период.
Наверх
</t>
        </r>
      </text>
    </comment>
    <comment ref="C67" authorId="0">
      <text>
        <r>
          <rPr>
            <b/>
            <sz val="8"/>
            <rFont val="Tahoma"/>
            <family val="0"/>
          </rPr>
          <t>NeverovaAA:</t>
        </r>
        <r>
          <rPr>
            <sz val="8"/>
            <rFont val="Tahoma"/>
            <family val="0"/>
          </rPr>
          <t xml:space="preserve">
Мгновенная ликвидность характеризует способность компании погасить краткосрочную кредиторскую задолженность досрочно. Нормой в международной практике считается значение 1 и выше. Если срочная ликвидность меньше единицы, это свидетельствует о напряженном финансовом состоянии компании. Российские же финансисты привыкли считать приемлемым значение от 0,8 до 1.</t>
        </r>
      </text>
    </comment>
    <comment ref="C68" authorId="0">
      <text>
        <r>
          <rPr>
            <b/>
            <sz val="8"/>
            <rFont val="Tahoma"/>
            <family val="0"/>
          </rPr>
          <t>NeverovaAA:</t>
        </r>
        <r>
          <rPr>
            <sz val="8"/>
            <rFont val="Tahoma"/>
            <family val="0"/>
          </rPr>
          <t xml:space="preserve">
способность предприятия отвечать по своим накопленным долгам за счет собственных накопленных ресурсов в денежной форме:
В нашем примере платежный ресурс предприятия за период составляет 26591,6 тыс. руб., а накопленный долг — 34 059,2 тыс. руб. Соотношение между ними равно 0,781.
О чем это говорит? Это означает, что на каждую 1000 руб. накопленного долга приходится 781 руб. платежного ресурса, а это довольно высокий показатель.
С другой стороны, на каждую 1000 руб. платежного ресурса приходится 1281 руб. накопленного долга (1,281=1/0,781). 
</t>
        </r>
      </text>
    </comment>
    <comment ref="C72" authorId="0">
      <text>
        <r>
          <rPr>
            <sz val="8"/>
            <rFont val="Tahoma"/>
            <family val="0"/>
          </rPr>
          <t>Данный показатель характеризует общую ситуацию с платежеспособностью организации, объемами ее заемных средств и сроками возможного погашения задолженности организации перед ее кредиторами.
этот показатель определяет, в какие средние сроки организация может рассчитаться со своими кредиторами при условии сохранения среднемесячной выручки, полученной в данном отчетном периоде, если не осуществлять никаких текущих расходов, а всю выручку направлять на расчеты с кредиторами.</t>
        </r>
      </text>
    </comment>
    <comment ref="C71" authorId="0">
      <text>
        <r>
          <rPr>
            <sz val="8"/>
            <rFont val="Tahoma"/>
            <family val="0"/>
          </rPr>
          <t>Данный коэффициент показывает, насколько текущие обязательства покрываются оборотными активами организации. Кроме того, показатель характеризует платежные возможности организации при условии погашения всей дебиторской задолженности (в том числе "невозвратной") и реализации имеющихся запасов (в том числе неликвидов). Снижение данного показателя за анализируемый период свидетельствует о снижении уровня ликвидности активов или о росте убытков организации.</t>
        </r>
      </text>
    </comment>
  </commentList>
</comments>
</file>

<file path=xl/sharedStrings.xml><?xml version="1.0" encoding="utf-8"?>
<sst xmlns="http://schemas.openxmlformats.org/spreadsheetml/2006/main" count="1025" uniqueCount="797">
  <si>
    <t>Количество привилегированных акций, (штук)</t>
  </si>
  <si>
    <t>ф. № 2  стр.[140(гр.3) -150(гр.3)] -дивиденды по привилегированным акциям</t>
  </si>
  <si>
    <t>ф. № 5  стр.371(гр.6)</t>
  </si>
  <si>
    <t>ф. № 5  стр.[363(гр.6) + стр.364(гр.6)]</t>
  </si>
  <si>
    <t>ф. № 5  стр.371(гр.3)</t>
  </si>
  <si>
    <t xml:space="preserve">ф. № 1  стр.(290 - 252 - 244 - 230) </t>
  </si>
  <si>
    <t>ф. № 1  стр.(290 - 230)</t>
  </si>
  <si>
    <t xml:space="preserve">ф. № 1  стр.(210 + 220) </t>
  </si>
  <si>
    <t>ф. № 1  стр.(490 - 465 - 475 - 252 - 244)</t>
  </si>
  <si>
    <t>ф. № 1  стр.(190 + 230)</t>
  </si>
  <si>
    <t>ф. № 1  стр.(490 - 465 - 475 - 252 - 244 + 590)</t>
  </si>
  <si>
    <t>ф. № 1  стр.(590 + 690)</t>
  </si>
  <si>
    <t>ф. № 1  стр.[300 - 465  - 475 - 252 - 244]   {ср.годов.}</t>
  </si>
  <si>
    <t xml:space="preserve">Формула расчета </t>
  </si>
  <si>
    <t>(показатель = отношение числителя к знаменателю)</t>
  </si>
  <si>
    <t>Промежуточные расчетные значения</t>
  </si>
  <si>
    <t>Значения</t>
  </si>
  <si>
    <t>показателей</t>
  </si>
  <si>
    <t>ф. № 1  стр.(290 -252 - 244 - 230 - 690)</t>
  </si>
  <si>
    <t xml:space="preserve">ф. № 1  стр.(290 -252 - 244 - 230) </t>
  </si>
  <si>
    <t>63.Бальная оценка финансовой устойчивости</t>
  </si>
  <si>
    <r>
      <t>Формула   Z = 1,2Х</t>
    </r>
    <r>
      <rPr>
        <vertAlign val="subscript"/>
        <sz val="8"/>
        <rFont val="Arial Cyr"/>
        <family val="0"/>
      </rPr>
      <t>1</t>
    </r>
    <r>
      <rPr>
        <sz val="8"/>
        <rFont val="Arial Cyr"/>
        <family val="2"/>
      </rPr>
      <t>+1,4Х</t>
    </r>
    <r>
      <rPr>
        <vertAlign val="subscript"/>
        <sz val="8"/>
        <rFont val="Arial Cyr"/>
        <family val="0"/>
      </rPr>
      <t>2</t>
    </r>
    <r>
      <rPr>
        <sz val="8"/>
        <rFont val="Arial Cyr"/>
        <family val="2"/>
      </rPr>
      <t>+3,3Х</t>
    </r>
    <r>
      <rPr>
        <vertAlign val="subscript"/>
        <sz val="8"/>
        <rFont val="Arial Cyr"/>
        <family val="0"/>
      </rPr>
      <t>3</t>
    </r>
    <r>
      <rPr>
        <sz val="8"/>
        <rFont val="Arial Cyr"/>
        <family val="2"/>
      </rPr>
      <t>+0,6Х</t>
    </r>
    <r>
      <rPr>
        <vertAlign val="subscript"/>
        <sz val="8"/>
        <rFont val="Arial Cyr"/>
        <family val="0"/>
      </rPr>
      <t>4</t>
    </r>
    <r>
      <rPr>
        <sz val="8"/>
        <rFont val="Arial Cyr"/>
        <family val="2"/>
      </rPr>
      <t>+Х</t>
    </r>
    <r>
      <rPr>
        <vertAlign val="subscript"/>
        <sz val="8"/>
        <rFont val="Arial Cyr"/>
        <family val="0"/>
      </rPr>
      <t>5</t>
    </r>
  </si>
  <si>
    <t>62.Комплексн.показатель (модель Альтмана)</t>
  </si>
  <si>
    <r>
      <t xml:space="preserve">вероятность банкротства  </t>
    </r>
    <r>
      <rPr>
        <b/>
        <u val="single"/>
        <sz val="11"/>
        <rFont val="Arial Cyr"/>
        <family val="0"/>
      </rPr>
      <t>высокая</t>
    </r>
  </si>
  <si>
    <r>
      <t xml:space="preserve">вероятность банкротства  </t>
    </r>
    <r>
      <rPr>
        <b/>
        <u val="single"/>
        <sz val="11"/>
        <rFont val="Arial Cyr"/>
        <family val="0"/>
      </rPr>
      <t>низкая</t>
    </r>
  </si>
  <si>
    <r>
      <t xml:space="preserve">вероятность банкротства  </t>
    </r>
    <r>
      <rPr>
        <b/>
        <u val="single"/>
        <sz val="11"/>
        <rFont val="Arial Cyr"/>
        <family val="0"/>
      </rPr>
      <t>невелика</t>
    </r>
  </si>
  <si>
    <r>
      <t xml:space="preserve">вероятность банкротства  </t>
    </r>
    <r>
      <rPr>
        <b/>
        <u val="single"/>
        <sz val="11"/>
        <rFont val="Arial Cyr"/>
        <family val="0"/>
      </rPr>
      <t>мала</t>
    </r>
  </si>
  <si>
    <t>Сумма баллов</t>
  </si>
  <si>
    <t>Комплексный показатель</t>
  </si>
  <si>
    <r>
      <t>первой</t>
    </r>
    <r>
      <rPr>
        <b/>
        <u val="single"/>
        <sz val="10"/>
        <rFont val="Arial Cyr"/>
        <family val="0"/>
      </rPr>
      <t xml:space="preserve"> </t>
    </r>
    <r>
      <rPr>
        <sz val="9"/>
        <rFont val="Arial Cyr"/>
        <family val="0"/>
      </rPr>
      <t>группе</t>
    </r>
  </si>
  <si>
    <r>
      <t>второй</t>
    </r>
    <r>
      <rPr>
        <b/>
        <u val="single"/>
        <sz val="10"/>
        <rFont val="Arial Cyr"/>
        <family val="0"/>
      </rPr>
      <t xml:space="preserve"> </t>
    </r>
    <r>
      <rPr>
        <sz val="9"/>
        <rFont val="Arial Cyr"/>
        <family val="0"/>
      </rPr>
      <t>группе</t>
    </r>
  </si>
  <si>
    <r>
      <t>третьей</t>
    </r>
    <r>
      <rPr>
        <b/>
        <u val="single"/>
        <sz val="10"/>
        <rFont val="Arial Cyr"/>
        <family val="0"/>
      </rPr>
      <t xml:space="preserve"> </t>
    </r>
    <r>
      <rPr>
        <sz val="9"/>
        <rFont val="Arial Cyr"/>
        <family val="0"/>
      </rPr>
      <t>группе</t>
    </r>
  </si>
  <si>
    <r>
      <t xml:space="preserve">четвертой </t>
    </r>
    <r>
      <rPr>
        <sz val="9"/>
        <rFont val="Arial Cyr"/>
        <family val="0"/>
      </rPr>
      <t>группе</t>
    </r>
  </si>
  <si>
    <r>
      <t xml:space="preserve">пятой </t>
    </r>
    <r>
      <rPr>
        <sz val="9"/>
        <rFont val="Arial Cyr"/>
        <family val="0"/>
      </rPr>
      <t>группе</t>
    </r>
  </si>
  <si>
    <t>Примечание</t>
  </si>
  <si>
    <t>Итог баланса-нетто. Показывает сумму хозяйственных средств, находящихся в распоряжении предприятия. Определяется, как баланс за минусом собственных акций, выкупленных у акционеров, задолженности учредителей в уставный фонд и непокрытый убыток прошлых лет и отчетного года.</t>
  </si>
  <si>
    <t>Коэффициент показывает степень износа (амортизации) основных средств и определяется как отношение суммы износа к первоначальной (балансовой) стоимости основных средств.</t>
  </si>
  <si>
    <t xml:space="preserve">ООО"ПИК-ПОДЪЕМ" </t>
  </si>
  <si>
    <t>2010</t>
  </si>
  <si>
    <t>30.06.2010</t>
  </si>
  <si>
    <t>Коэффициент показывает степень износа (амортизации) активной части основных средств  (машины, оборудование и транспортные средства) и определяется как отношение суммы износа к первоначальной (балансовой) стоимости активной части основных средств.</t>
  </si>
  <si>
    <t>Показывает, какую долю занимает стоимость основных средств в общей сумме средств, находящихся в распоряжении организации. Определяется как отношение стоимости основных средств к стоимости средств, находящихся в распоряжении организации (баланс-нетто).</t>
  </si>
  <si>
    <t>Показывает, какую долю занимает стоимость активной части основных средств (машины, оборудование и транспортные средства) в общей сумме балансовой стоимости основных средств. Определяется как отношение стоимости активной части основных средств к стоимости основных средств.</t>
  </si>
  <si>
    <t>Коэффициент показывает в какой степени происходит замена (обновление) основных средств производства. Определяется как отношение балансовой стоимости поступивших за период основных средств к первоначальной стоимости всех основных средств на конец периода. Чем больше значение этого коэффициента тем интенсивнее происходит обновление основных средств производства.</t>
  </si>
  <si>
    <t>Коэффициент характеризует степень выбытия (списания) основных средств за период. Определяется как отношение стоимости выбывших (списанных) основных средств по первоначальной стоимости за период к балансовой стоимости основных средств на начало периода. Чем больше значение этого показателя тем интенсивнее процесс выбытия основных средств из хозяйственного оборота.</t>
  </si>
  <si>
    <t>Величина собственных оборотных средств является функционирующим капиталом предприятия. Определяется суммой собственного капитала с долгосрочными обязательствами за минусом внеоборотных активов или равностью между оборотными активами и краткосрочными обязательствами.</t>
  </si>
  <si>
    <t>Коэффициент показывает способность предприятия поддерживать уровень собственного оборотного капитала и пополнять его в случае необходимости за счет собственных источников. Определяется отношением денежных средств к функционирующему капиталу. Допускаемые значения 0,2 - 0,5. При значении коэффициента более 0,5 уменьшается возможность финансового маневра организации.</t>
  </si>
  <si>
    <t>Представляет собой коэффициент обеспечения собственными оборотными средствами и отражает наличие собственных оборотных средств у предприятия, необходимого для его финансовой устойчивости. Определяется отношением собственных оборотных средств к общей сумме оборотных средств. Нижняя граница показателя составляет 0,1. Менее предельного значения структура баланса признается неудовлетворительной. Чем выше значение (0,5), тем лучше финансовое положение предприятия и больше возможностей для проведения независимой финансовой политики.</t>
  </si>
  <si>
    <t>Коэффициент показывает соотношение заемных и собственных средств. Определяется отношением заемного капитала (долгосрочные обязательства + краткосрочные обязательства) к сумме собственного капитала.</t>
  </si>
  <si>
    <t>Сумма выручки (нетто) от продажи товаров, продукции, работ, услуг (за минусом налога на добавленную стоимость, акцизов и аналогичных обязательных платежей). Является одним из количественных показателей, характеризующих масштаб деятельности предприятия.</t>
  </si>
  <si>
    <t>Прибыль (убыток) предприятия до налогообложения. Один из основных показателей, характеризующих эффективность деятельности предприятия.</t>
  </si>
  <si>
    <t>Один из основных показателей, характеризующих эффективность работы предприятия.  Выражает рентабельность основных средств предприятия (сумму выручки, приходящуюся на рубль</t>
  </si>
  <si>
    <t>ф. № 1 стр.[(490 - 465 -475 - 252 - 244)]   {ср.годов.}</t>
  </si>
  <si>
    <t>Этот показатель отражает, сколько прибыли (убытка) приходится на рубль затрат, произведенных на производство и реализацию продукции. Определяется как отношение прибыли (убытка) от реализации к затратам на производство и сбыт продукции.</t>
  </si>
  <si>
    <t>Показатель отражает сколько чистой прибыли (убытка) приходится на каждый рубль средств, находящихся в распоряжении предприятия. Является одним из наиболее важных индикаторов конкурентоспособности предприятия. Уровень конкурентоспособности определяется сравнением этого показателя с предприятиями, имеющими аналогичное производственное направление.  Определяется как отношение чистой прибыли (прибыли после налогообложения) к среднегодовой сумме хозяйственных средств, находящихся в распоряжении предприятия (баланс-нетто).</t>
  </si>
  <si>
    <t>Показатель отражает количество прибыли (убытка) полученного на каждый рубль собственного капитала. Определяется как отношение чистой прибыли к среднегодовой величине собственного капитала.</t>
  </si>
  <si>
    <t>Показатель отражает величину дивиденда, приходящуюся на одну обыкновенную акцию. Определяется как отношение чистой прибыли за минусом дивидендов по привилегированным акциям к общему числу обыкновенных акций.</t>
  </si>
  <si>
    <t>Показатель определяется как отношение дивиденда на одну акцию к рыночной цене акции.</t>
  </si>
  <si>
    <t>Показатель определяется как отношение дивиденда на одну акцию к доходу (прибыли) на одну акцию.</t>
  </si>
  <si>
    <t>Коэффициент определяется делением рыночной цены акции на номинальную цену акции.</t>
  </si>
  <si>
    <r>
      <t>Второй элемент модели Альтмана, применяемой для анализа вероятности банкротства предприятия (Х</t>
    </r>
    <r>
      <rPr>
        <vertAlign val="subscript"/>
        <sz val="9"/>
        <rFont val="Arial Cyr"/>
        <family val="0"/>
      </rPr>
      <t>2</t>
    </r>
    <r>
      <rPr>
        <sz val="9"/>
        <rFont val="Arial Cyr"/>
        <family val="0"/>
      </rPr>
      <t xml:space="preserve">). Определяется как отношение нераспределенной прибыли к сумме всех активов. </t>
    </r>
  </si>
  <si>
    <r>
      <t>Первый элемент модели Альтмана, применяемой для анализа вероятности банкротства предприятия (Х</t>
    </r>
    <r>
      <rPr>
        <vertAlign val="subscript"/>
        <sz val="9"/>
        <rFont val="Arial Cyr"/>
        <family val="0"/>
      </rPr>
      <t>1</t>
    </r>
    <r>
      <rPr>
        <sz val="9"/>
        <rFont val="Arial Cyr"/>
        <family val="0"/>
      </rPr>
      <t xml:space="preserve">). Определяется как отношение оборотного капитала к сумме всех активов. </t>
    </r>
  </si>
  <si>
    <r>
      <t>Третий элемент модели Альтмана, применяемой для анализа вероятности банкротства предприятия (Х</t>
    </r>
    <r>
      <rPr>
        <vertAlign val="subscript"/>
        <sz val="9"/>
        <rFont val="Arial Cyr"/>
        <family val="0"/>
      </rPr>
      <t>3</t>
    </r>
    <r>
      <rPr>
        <sz val="9"/>
        <rFont val="Arial Cyr"/>
        <family val="0"/>
      </rPr>
      <t xml:space="preserve">). Определяется как отношение прибыли отчетного года к сумме всех активов. </t>
    </r>
  </si>
  <si>
    <r>
      <t>Четвертый элемент модели Альтмана, применяемой для анализа вероятности банкротства предприятия (Х</t>
    </r>
    <r>
      <rPr>
        <vertAlign val="subscript"/>
        <sz val="9"/>
        <rFont val="Arial Cyr"/>
        <family val="0"/>
      </rPr>
      <t>4</t>
    </r>
    <r>
      <rPr>
        <sz val="9"/>
        <rFont val="Arial Cyr"/>
        <family val="0"/>
      </rPr>
      <t xml:space="preserve">). Определяется как отношение уставного капитала к сумме всех активов. </t>
    </r>
  </si>
  <si>
    <r>
      <t>Пятый элемент модели Альтмана, применяемой для анализа вероятности банкротства предприятия (Х</t>
    </r>
    <r>
      <rPr>
        <vertAlign val="subscript"/>
        <sz val="9"/>
        <rFont val="Arial Cyr"/>
        <family val="0"/>
      </rPr>
      <t>5</t>
    </r>
    <r>
      <rPr>
        <sz val="9"/>
        <rFont val="Arial Cyr"/>
        <family val="0"/>
      </rPr>
      <t xml:space="preserve">). Определяется как отношение чистой выручки от реализации товаров, продукции, работ и услуг к сумме всех активов. </t>
    </r>
  </si>
  <si>
    <r>
      <t>Четвертый коэффициент (К</t>
    </r>
    <r>
      <rPr>
        <vertAlign val="subscript"/>
        <sz val="9"/>
        <rFont val="Arial Cyr"/>
        <family val="0"/>
      </rPr>
      <t>4</t>
    </r>
    <r>
      <rPr>
        <sz val="9"/>
        <rFont val="Arial Cyr"/>
        <family val="0"/>
      </rPr>
      <t>)</t>
    </r>
    <r>
      <rPr>
        <vertAlign val="subscript"/>
        <sz val="9"/>
        <rFont val="Arial Cyr"/>
        <family val="0"/>
      </rPr>
      <t xml:space="preserve"> </t>
    </r>
    <r>
      <rPr>
        <sz val="9"/>
        <rFont val="Arial Cyr"/>
        <family val="0"/>
      </rPr>
      <t>для бальной оценки финансовой устойчивости предприятия - коэффициент обеспеченности собственными средствами. Рассчитывается как отношение разности собственных капиталов и резервов организации и внеоборотных активов  к оборотным активам.  Данный коэффициент показывает, какую часть оборотных активов финансируется за счет собственных оборотных средств. Расчетная формула соответствует утвержденной методике.</t>
    </r>
  </si>
  <si>
    <r>
      <t>Шестой коэффициент (К</t>
    </r>
    <r>
      <rPr>
        <vertAlign val="subscript"/>
        <sz val="9"/>
        <rFont val="Arial Cyr"/>
        <family val="0"/>
      </rPr>
      <t>6</t>
    </r>
    <r>
      <rPr>
        <sz val="9"/>
        <rFont val="Arial Cyr"/>
        <family val="0"/>
      </rPr>
      <t>)</t>
    </r>
    <r>
      <rPr>
        <vertAlign val="subscript"/>
        <sz val="9"/>
        <rFont val="Arial Cyr"/>
        <family val="0"/>
      </rPr>
      <t xml:space="preserve"> </t>
    </r>
    <r>
      <rPr>
        <sz val="9"/>
        <rFont val="Arial Cyr"/>
        <family val="0"/>
      </rPr>
      <t>для бальной оценки финансовой устойчивости предприятия - коэффициент финансовой независимости в части формирования запасов и затрат. Рассчитывается как отношение собственных капиталов и резервов предприятия к сумме запасов и налога на добавленную стоимость по приобретенным ценностям.  Данный коэффициент показывает какая часть запасов и затрат формируется за счет собственных средств. Расчетная формула соответствует утвержденной методике.</t>
    </r>
  </si>
  <si>
    <t>Коэффициент характеризует степень общего покрытия всеми оборотными средствами предприятия суммы срочных обязательств (краткосрочные кредиты, займы, кредиторская задолженность). Он оапределяется как отношение стоимости оборотных средств  в виде производственных запасов, готовой продукции, денежных средств, дебиторской задолженности и прочих оборотных активов к наиболее срочным обязательствам предприятия в виде краткосрочных кредитов банков, краткосрочных займов и различной кредиторской задолженности. Нормальные значения этого показателя составляют 1,0 - 2,0.</t>
  </si>
  <si>
    <t>Общий коэффициент закрепления дебиторской задолженности</t>
  </si>
  <si>
    <t>Текущий коэффициент закрепления дебиторской задолженности</t>
  </si>
  <si>
    <t>Общий коэффициент закрепления денежных средств</t>
  </si>
  <si>
    <t>Текущий коэффициент закрепления денежных средств</t>
  </si>
  <si>
    <t>Коэффициент характеризует степень общего покрытия всеми оборотными средствами предприятия за минусом запасов суммы срочных обязательств (краткосрочные кредиты, займы, кредиторская задолженность). Он определяется как отношение стоимости оборотных средств  в виде готовой продукции, денежных средств, дебиторской задолженности и прочих оборотных активов к наиболее срочным обязательствам предприятия в виде краткосрочных кредитов банков, краткосрочных займов и различной кредиторской задолженности. Показатель занимает промежуточное положение между коэффициентом текущей ликвидности и коэффициентом абсолютной ликвидности.</t>
  </si>
  <si>
    <t xml:space="preserve">Показывает возможность предприятия быстро рассчитаться с кредиторами, не полагаясь на дебиторскую задолженность и показывает его платежеспособность. Определяется как отношение денежных средств  к наиболее срочным обязательствам  предприятия в виде краткосрочных кредитов банков, краткосрочных займов и различных кредиторских задолженностей. Для удовлетворительного баланса предприятия его значение не должно  быть меньше 0,2. </t>
  </si>
  <si>
    <t>Показатель определяет долю оборотных средств в активах предприятия. Определяется как отношение суммы оборотных активов к сумме средств, находящихся в распоряжении предприятия (баланс-нетто). Высокая доля оборотных средств в активах предприятия может возникнуть при необоснованном увеличения запасов в виде запасов сырья, незавершенного производства, готовой продукции на складах и прочее.</t>
  </si>
  <si>
    <t>Коэффициент показывает долю собственного капитала в общей сумме средств, вложенных в предприятие. Определяется как отношение собственного капитала к стоимости всех средств, находящихся в распоряжении предприятия (баланс-нетто).  Чем выше значение этого коэффициента, тем больше возможностей у предприятия для проведения самостоятельной финансовой политики.</t>
  </si>
  <si>
    <t>Коэффициент финансовой зависимости является  обратной величиной коэффициенту концентрации собственного капитала. Определяется как отношение общей суммы средств, находящихся в распоряжении предприятия (баланс-нетто) к сумме собственного капитала. Рост данного показателя означает увеличение доли заемных средств в финансировании предприятия.</t>
  </si>
  <si>
    <t>Коэффициент определяет долю собственных оборотных средств в стоимости собственного капитала (определяет эффективность использования собственных оборотных средств). Рассчитывается как отношение собственных оборотных средств к стоимости собственного капитала.</t>
  </si>
  <si>
    <t>Коэффициент показывает сколько заемных средств привлекло предприятие на 1 рубль, вложенный в активы собственных средств. Определяется как отношение финансовых обязательств предприятия (кредиты, займы, кредиторская задолженность) к собственному капиталу. Значение показателя должно быть меньше 0,7. Превышение этой границы означает зависимость предприятия от внешних источников средств, потерю финансовой устойчивости (автономии, собственности).</t>
  </si>
  <si>
    <t>Коэффициент показывает какая часть основных средств профинансирована за счет долгосрочных заемных средств. Определяется отношением долгосрочных обязательств к стоимости необоротных активов.</t>
  </si>
  <si>
    <t>Коэффициент характеризует долю долгосрочных займов, привлеченных для финансирования  предприятия, наряду с собственными средствами. Определяется отношением долгосрочных обязательств к сумме собственного капитала и долгосрочных обязательств.</t>
  </si>
  <si>
    <t>Коэффициент показывает долю долгосрочных обязательств к общей сумме обязательств (долгосрочные обязательства + краткосрочные обязательства).</t>
  </si>
  <si>
    <t>Один из основных показателей, характеризующих эффективность работы предприятия. Выражается суммой реализации, приходящейся на одного среднегодового работника в год. Определяется делением суммы выручки (нетто) на среднегодовую численность работников предприятия.</t>
  </si>
  <si>
    <t>Оборачиваемость средств в расчетах  (в оборотах) определяется как отношение выручки от реализации (нетто)  и определяется как отношение выручки (нетто) к среднегодовой дебиторской задолженности за отчетный период. Увеличение показателя ( числа оборотов)  является положительным показателем финансово-хозяйственной деятельности предприятия.</t>
  </si>
  <si>
    <t>Показатель определяет оборачиваемость средств в расчетах в днях. Вычисляется делением 360 дней на число оборотов средств в расчетах ( в оборотах). Чем меньше число дней оборачиваемости средств в расчетах, тем эффективнее работа предприятия .</t>
  </si>
  <si>
    <t xml:space="preserve">Показатель определяет оборачиваемость (число оборотов) запасов. Определяется как отношение себестоимости реализованной продукции, товаров, услуг и работ к сумме среднегодовых запасов предприятия. </t>
  </si>
  <si>
    <t>Показатель определяет оборачиваемость запасов в днях. Вычисляется делением 360 дней на число оборотов запасов ( в оборотах). Чем меньше число дней оборачиваемости запасов, тем эффективнее работа предприятия .</t>
  </si>
  <si>
    <t xml:space="preserve">Показатель характеризует условия расчетов предприятия со своими партнерами. Срок погашения кредиторской задолженности целесообразно сравнить  со сроком погашения дебиторской задолженности, то есть сравнивать условия получения  и предоставления  отсрочки платежей  своим партнерам. Если кредиторская задолженность предоставляется на более длительный период, чем дебиторская, то такие условия приемлемы для предприятия. </t>
  </si>
  <si>
    <t>Продолжительность финансового цикла (дней) представляет разность продолжительности  операционного цикла(дней)  и оборачиваемости кредиторской задолженности (дней). Чем короче продолжительность финансового цикла, чем эффективно используются предприятием финансовые средства.</t>
  </si>
  <si>
    <t>Коэффициент отражает степень погащаемости дебиторской задолженности и определяется как отношение среднегодовой дебиторской задолженности к выручке (нетто) от реализации товаров, продукции, услуг и работ..</t>
  </si>
  <si>
    <t>больше 0,2</t>
  </si>
  <si>
    <t>РАСЧЕТНАЯ  БАЗА</t>
  </si>
  <si>
    <t>с 1 января по 30 июня</t>
  </si>
  <si>
    <t>Показатель отражает различные аспекты деятельности предприятия. С коммерческой точки зрения отражает или увеличение объемов продаж продукции, или недостаток собственного капитала. С финансовой точки зрения отражает скорость оборота вложенного капитала. С экономической точки зрения отражает активность денежных средств, которыми располагает предприятие. Определяется как отношение выручки (нетто) от реализации товаров, продукции, услуг и работ к сумме хозяйственных средств, находящихся в распоряжении предприятия (баланс-нетто).</t>
  </si>
  <si>
    <t>Показатель отражает различные аспекты деятельности предприятия. С коммерческой точки зрения отражает или увеличение объемов продаж продукции, или недостаток средств, находящихся в распоряжении предприятия. С финансовой точки зрения отражает скорость оборота вложенного капитала. С экономической точки зрения отражает активность денежных средств, которыми располагает предприятие. Определяется как отношение выручки (нетто) от реализации товаров, продукции, услуг и работ к сумме хозяйственных средств, находящихся в распоряжении предприятия (баланс-нетто).</t>
  </si>
  <si>
    <t>Коэффициент определяет рентабельность собственного капитала. Определяется как отношение чистой прибыли за минусом дивидендов, выплаченных акционерам к средней сумме собственного капитала.</t>
  </si>
  <si>
    <t>Показатель отражает величину прибыли (убытка)от реализации по отношению суммы выручки от реализации товаров, продукции, работ и услуг. Определяется как отношение прибыли (убытка)от реализации к выручке (нетто) от реализации товаров, продукции, работ и услуг.</t>
  </si>
  <si>
    <t>Показатель является обратной величиной рентабельности собственного капитала. Определяется как отношение среднегодовой стоимости собственного капитала к чистой прибыли.</t>
  </si>
  <si>
    <t>Показатель отражает ценность акции, которая зависит от прибыльности предприятия. Определяется как отношение рыночной цены акции к сумме дохода на акцию.</t>
  </si>
  <si>
    <r>
      <t>Первый коэффициент (К</t>
    </r>
    <r>
      <rPr>
        <vertAlign val="subscript"/>
        <sz val="9"/>
        <rFont val="Arial Cyr"/>
        <family val="0"/>
      </rPr>
      <t>1</t>
    </r>
    <r>
      <rPr>
        <sz val="9"/>
        <rFont val="Arial Cyr"/>
        <family val="0"/>
      </rPr>
      <t>) для бальной оценки финансовой устойчивости предприятия - коэффициент абсолютной ликвидности. Рассчитывается как отношение ликвидных активов к сумме краткосрочных обязательств, кредиторской задолженности и прочим краткосрочным обязательствам.  Данный коэффициент показывает, какая  часть текущих обязательств может быть погашена средствами, имеющими абсолютную ликвидность (деньги ценные бумаги со сроком погашения до одного года). Расчетная формула соответствует утвержденной методике.</t>
    </r>
  </si>
  <si>
    <r>
      <t>Второй коэффициент (К</t>
    </r>
    <r>
      <rPr>
        <vertAlign val="subscript"/>
        <sz val="9"/>
        <rFont val="Arial Cyr"/>
        <family val="0"/>
      </rPr>
      <t>2</t>
    </r>
    <r>
      <rPr>
        <sz val="9"/>
        <rFont val="Arial Cyr"/>
        <family val="0"/>
      </rPr>
      <t>) для бальной оценки финансовой устойчивости предприятия - коэффициент "критической" оценки. Рассчитывается как отношение суммы ликвидных активов и быстрореализуемых активов (дебиторская задолженность, платежи по которым ожидаются в течении 12 месяцев) к сумме краткосрочных обязательств кредиторской задолженности и прочим краткосрочным обязательствам.  Данный коэффициент показывает, какая часть краткосрочных обязательств предприятия может быть немедленно погашена за счет денежных средств на различных счетах, в краткосрочных ценных бумагах, а также поступлениям по расчетам (дебиторская задолженность). Расчетная формула соответствует утвержденной методике.</t>
    </r>
  </si>
  <si>
    <r>
      <t>Третий коэффициент (К</t>
    </r>
    <r>
      <rPr>
        <vertAlign val="subscript"/>
        <sz val="9"/>
        <rFont val="Arial Cyr"/>
        <family val="0"/>
      </rPr>
      <t>3)</t>
    </r>
    <r>
      <rPr>
        <sz val="9"/>
        <rFont val="Arial Cyr"/>
        <family val="0"/>
      </rPr>
      <t xml:space="preserve"> для бальной оценки финансовой устойчивости предприятия - коэффициент текущей ликвидности. Рассчитывается как отношение оборотных средств к сумме краткосрочных обязательств кредиторской задолженности и прочим краткосрочным обязательствам. Данный коэффициент показывает, какую часть текущих обязательств можно погасить, мобилизовав все оборотные средства. Расчетная формула соответствует утвержденной методике.</t>
    </r>
  </si>
  <si>
    <r>
      <t>Пятый коэффициент (К</t>
    </r>
    <r>
      <rPr>
        <vertAlign val="subscript"/>
        <sz val="9"/>
        <rFont val="Arial Cyr"/>
        <family val="0"/>
      </rPr>
      <t>5</t>
    </r>
    <r>
      <rPr>
        <sz val="9"/>
        <rFont val="Arial Cyr"/>
        <family val="0"/>
      </rPr>
      <t>)</t>
    </r>
    <r>
      <rPr>
        <vertAlign val="subscript"/>
        <sz val="9"/>
        <rFont val="Arial Cyr"/>
        <family val="0"/>
      </rPr>
      <t xml:space="preserve"> </t>
    </r>
    <r>
      <rPr>
        <sz val="9"/>
        <rFont val="Arial Cyr"/>
        <family val="0"/>
      </rPr>
      <t>для бальной оценки финансовой устойчивости предприятия - коэффициент финансовой независимости. Рассчитывается как отношение собственных капиталов и резервов предприятия к итогу баланса.  Данный коэффициент показывает удельный вес собственных средств в общей сумме пассивов (активов). Расчетная формула соответствует утвержденной методике.</t>
    </r>
  </si>
  <si>
    <t>Применяется при "неудовлетворительной" оценке финансовой устойчивости, проведенной на основании различных показателей. Производится более глубокая комплексная оценка предприятия при помощи пяти показателей. В зависимости от значения комплексного показателя Z,  предприятие по возможности банкротства оценивается как, вероятность банкротства высокая (Z&lt;1,80); вероятность банкротства средняя (1,81&lt;Z&lt;2,70); вероятность банкротства невелика (2,71&lt;Z&lt;2,90); вероятность банкротства мала (2,91&lt;Z).</t>
  </si>
  <si>
    <t>Методика расчета бальной оценки финансовой устойчивости предприятия установлена во исполнение Федерального закона от 09.07.2002 г. № 83-ФЗ "О финансовом оздоровлении сельскохозяйственных товаропроизводителей".  Она определяет порядок расчета  показателей финансового состояния сельскохозяйственных товаропроизводителей для отнесения их к группам по финансовой устойчивости на основании бальной оценки показателей. Для расчета показателей финансового состояния сельскохозяйственных товаропроизводителей используются данные бухгалтерского баланса (форма № 1 по ОКУД) годовой бухгалтерской отчетности.</t>
  </si>
  <si>
    <t>Продолжительность операционного цикла (дней) определяется как сумма продолжительности оборачиваемости средств  в расчетах и оборачиваемости запасов.  Чем меньше продолжительность операционного цикла, тем эффективнее работа предприятия.</t>
  </si>
  <si>
    <t xml:space="preserve">Показатель определяет долю запасов в оборотных активах предприятия. Определяется как отношение суммы запасов к сумме оборотных активов. </t>
  </si>
  <si>
    <t>Показатель определяет долю собственных оборотных средств в общей сумме запасов предприятия. Определяется как отношение сумы собственных оборотных средств к сумме запасов.</t>
  </si>
  <si>
    <t xml:space="preserve">Коэффициент определяет долю "нормальных" источников покрытия в стоимости запасов предприятия. </t>
  </si>
  <si>
    <t>Затраты на оплату труда</t>
  </si>
  <si>
    <t>А К Т И В</t>
  </si>
  <si>
    <t>Код</t>
  </si>
  <si>
    <t>стр.</t>
  </si>
  <si>
    <t>На нач.</t>
  </si>
  <si>
    <t>года</t>
  </si>
  <si>
    <t>На кон.</t>
  </si>
  <si>
    <t>П А С С И В</t>
  </si>
  <si>
    <t>Форма № 1 по ОКУД</t>
  </si>
  <si>
    <t>Форма № 2 по ОКУД</t>
  </si>
  <si>
    <t>период</t>
  </si>
  <si>
    <t>050</t>
  </si>
  <si>
    <t>Форма № 5 по ОКУД</t>
  </si>
  <si>
    <t>Поступ.</t>
  </si>
  <si>
    <t>Выбыло</t>
  </si>
  <si>
    <t>ОТЧЕТ О ПРИБЫЛЯХ И УБЫТКАХ</t>
  </si>
  <si>
    <t>ПРИЛОЖЕНИЕ К БУХГАЛТЕРСКОМУ БАЛАНСУ</t>
  </si>
  <si>
    <t>КОММЕНТАРИЙ</t>
  </si>
  <si>
    <t xml:space="preserve">    Для получения системы показателей оценки финансово-хозяйственной деятельности предприятия </t>
  </si>
  <si>
    <t>Расчетная формула</t>
  </si>
  <si>
    <t>№№</t>
  </si>
  <si>
    <t>пп</t>
  </si>
  <si>
    <t>Наименование</t>
  </si>
  <si>
    <t>показателя</t>
  </si>
  <si>
    <t>2.2</t>
  </si>
  <si>
    <t>2.6</t>
  </si>
  <si>
    <t>2.7</t>
  </si>
  <si>
    <t>2.9</t>
  </si>
  <si>
    <t>2.1</t>
  </si>
  <si>
    <t>Прочие внеоборотные активы</t>
  </si>
  <si>
    <t>Прочие оборотные активы</t>
  </si>
  <si>
    <t>Проценты к получению</t>
  </si>
  <si>
    <t>Проценты к уплате</t>
  </si>
  <si>
    <t>Доходы от участия в других организациях</t>
  </si>
  <si>
    <t>Прочие операционные доходы</t>
  </si>
  <si>
    <t>Прочие операционные расходы</t>
  </si>
  <si>
    <t>060</t>
  </si>
  <si>
    <t>070</t>
  </si>
  <si>
    <t>080</t>
  </si>
  <si>
    <t>090</t>
  </si>
  <si>
    <t>100</t>
  </si>
  <si>
    <t>120</t>
  </si>
  <si>
    <t>130</t>
  </si>
  <si>
    <t xml:space="preserve">Наименование </t>
  </si>
  <si>
    <t>СПРАВОЧНО:</t>
  </si>
  <si>
    <t>За пред.</t>
  </si>
  <si>
    <t xml:space="preserve">  в том числе:  производственные</t>
  </si>
  <si>
    <t xml:space="preserve">                          непроизводственные</t>
  </si>
  <si>
    <t>Среднегодовая  стоимость всех основных средств</t>
  </si>
  <si>
    <t xml:space="preserve">                         производ.осн.средства других отраслей</t>
  </si>
  <si>
    <t>Остат.</t>
  </si>
  <si>
    <t>(ввод)</t>
  </si>
  <si>
    <t xml:space="preserve">  в том числе: производ.осн.средства основной деятельн.</t>
  </si>
  <si>
    <t>3. АМОРТИЗИРУЕМОЕ ИМУЩЕСТВО</t>
  </si>
  <si>
    <t>Здания</t>
  </si>
  <si>
    <t>Сооружения</t>
  </si>
  <si>
    <t>Машины и оборудование</t>
  </si>
  <si>
    <t>Транспортные средства</t>
  </si>
  <si>
    <t>Производственный и хозяйственный инвентарь</t>
  </si>
  <si>
    <t>Рабочий скот</t>
  </si>
  <si>
    <t>Многолетние насаждения</t>
  </si>
  <si>
    <t>Другие виды основных средств</t>
  </si>
  <si>
    <t>Продуктивный скот</t>
  </si>
  <si>
    <t>Дата:</t>
  </si>
  <si>
    <t>1.6</t>
  </si>
  <si>
    <t>Структ.</t>
  </si>
  <si>
    <t>затрат</t>
  </si>
  <si>
    <t>необходимо ввести данные бухгалтерского баланса (форма № 1, форма № 2, форма № 5), а также фор-</t>
  </si>
  <si>
    <t>мы № 8 - АПК и др.</t>
  </si>
  <si>
    <t>6.5</t>
  </si>
  <si>
    <t>Итого</t>
  </si>
  <si>
    <t>Начислено</t>
  </si>
  <si>
    <t>на нач.</t>
  </si>
  <si>
    <t>на кон.</t>
  </si>
  <si>
    <t>Отчисления на социальные нужды</t>
  </si>
  <si>
    <t>Итого по элементам затрат</t>
  </si>
  <si>
    <t>Год:</t>
  </si>
  <si>
    <t>х</t>
  </si>
  <si>
    <t>Коэффициент задолженности по кредитам банков, займам и ОНО</t>
  </si>
  <si>
    <t>5.ОЦЕНКА ДЕЛОВОЙ АКТИВНОСТИ ОРГАНИЗАЦИИ</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</si>
  <si>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</si>
  <si>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</si>
  <si>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</si>
  <si>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</si>
  <si>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</si>
  <si>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</si>
  <si>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</si>
  <si>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</si>
  <si>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</si>
  <si>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</si>
  <si>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</si>
  <si>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</si>
  <si>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</si>
  <si>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</si>
  <si>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</si>
  <si>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</si>
  <si>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</si>
  <si>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</si>
  <si>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</si>
  <si>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</si>
  <si>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</si>
  <si>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</si>
  <si>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</si>
  <si>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</si>
  <si>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</si>
  <si>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</si>
  <si>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</si>
  <si>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</si>
  <si>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</si>
  <si>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</si>
  <si>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</si>
  <si>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</si>
  <si>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</si>
  <si>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</si>
  <si>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Коэффициент оборачиваемости активов</t>
  </si>
  <si>
    <t>Коэффициент оборачиваемости оборотных активов</t>
  </si>
  <si>
    <t>Коэффициент оборачиваемости запасов</t>
  </si>
  <si>
    <t>Коэффициент оборачиваемости запасов (альтернативный вариант)</t>
  </si>
  <si>
    <t>Коэффициент оборачиваемости сырья и материалов</t>
  </si>
  <si>
    <t>Коэффициент оборачиваемости краткосрочной дебиторской задолженности</t>
  </si>
  <si>
    <t>Коэффициент оборачиваемости общей величины дебиторской задолженности</t>
  </si>
  <si>
    <t>Коэффициент оборачиваемости денежных средств</t>
  </si>
  <si>
    <t>Коэффициент оборачиваемости собственного капитала</t>
  </si>
  <si>
    <t>Коэффициент оборачиваемости краткосрочного заемного капитала</t>
  </si>
  <si>
    <t>Коэффициент оборачиваемости кредиторской задолженности</t>
  </si>
  <si>
    <t>Коэффициент оборачиваемости кредиторской задолженности (альтернативный в-т)</t>
  </si>
  <si>
    <t>Коэффициент оборачиваемости задолженности поставщикам и подрядчикам</t>
  </si>
  <si>
    <t>Коэффициент оборачиваемости задолженности поставщикам и подрядчикам (алтерн.в-т)</t>
  </si>
  <si>
    <t>Продолжительность периода оборота активов, дней</t>
  </si>
  <si>
    <t>Продолжительность периода оборота оборотных активов, дней</t>
  </si>
  <si>
    <t>Продолжительность периода оборота запасов, дней</t>
  </si>
  <si>
    <t>Продолжительность периода оборота сырья и материалов, дней</t>
  </si>
  <si>
    <t>Коэффициент оборачиваемости краткосрочной дебиторской задолженности,дней</t>
  </si>
  <si>
    <t>Коэффициент оборачиваемости общей величины дебиторской задолженности,дней</t>
  </si>
  <si>
    <t>Продолжительность периода оборота денежных средств, дней</t>
  </si>
  <si>
    <t>Продолжительность периода оборота кредиторской задолженности, дней</t>
  </si>
  <si>
    <t>Продолжительность периода оборота кредиторской задолженности, дней (альт.в-т)</t>
  </si>
  <si>
    <t>Продолжительность периода оборота задолженности поставщикам и подрядчикам, дней</t>
  </si>
  <si>
    <t>Продолжительность периода оборота задолженности поставщикам и подрядчикам, дней (алтернативный вариант)</t>
  </si>
  <si>
    <t>Операционный цикл</t>
  </si>
  <si>
    <t>Финансовый цикл</t>
  </si>
  <si>
    <t>Общий коэффициент закрепления оборотных активов</t>
  </si>
  <si>
    <t>Текущий коэффициент закрепления оборотных активов</t>
  </si>
  <si>
    <t>Текущий коэффициент закрепления запасов</t>
  </si>
  <si>
    <t>Общий коэффициент закрепления запасов</t>
  </si>
  <si>
    <t>Общий коэффициент закрепления запасов сырья и материалов</t>
  </si>
  <si>
    <t>Текущий коэффициент закрепления запасов сырья и материалов</t>
  </si>
  <si>
    <t>Общий коэффициент закрепления незавершенного производства</t>
  </si>
  <si>
    <t>Текущий коэффициент закрепления незавершенного производства</t>
  </si>
  <si>
    <t>Сумма дивидендов, выплаченная акционерам</t>
  </si>
  <si>
    <t>Количество обычных акций (штук)</t>
  </si>
  <si>
    <t>Учетная цена акции</t>
  </si>
  <si>
    <t>Рыночная цена акции</t>
  </si>
  <si>
    <t>ДАННЫЕ БУХГАЛТЕРСКОГО УЧЕТА И РЫНКА ЦЕННЫХ БУМАГ</t>
  </si>
  <si>
    <t>СПРАВОЧНО: дивиденды, приходяшиеся на одну привилегированную акцию</t>
  </si>
  <si>
    <t xml:space="preserve">                       дивиденды, приходящиеся на одну обычную акцию</t>
  </si>
  <si>
    <t>7.3.</t>
  </si>
  <si>
    <t>7.4.</t>
  </si>
  <si>
    <t>7.5.</t>
  </si>
  <si>
    <t>7.6.</t>
  </si>
  <si>
    <t>7.7.</t>
  </si>
  <si>
    <t>7.8.</t>
  </si>
  <si>
    <t>9. ОПРЕДЕЛЕНИЕ ГРУППЫ ПО ФИНАНСОВОЙ УСТОЙЧИВОСТИ НА ОСНОВАНИИ</t>
  </si>
  <si>
    <t>БАЛЬНОЙ ОЦЕНКИ ПОКАЗАТЕЛЕЙ</t>
  </si>
  <si>
    <r>
      <t xml:space="preserve">  </t>
    </r>
    <r>
      <rPr>
        <sz val="10"/>
        <rFont val="Arial Cyr"/>
        <family val="0"/>
      </rPr>
      <t xml:space="preserve"> </t>
    </r>
    <r>
      <rPr>
        <b/>
        <sz val="10"/>
        <color indexed="12"/>
        <rFont val="Arial Cyr"/>
        <family val="0"/>
      </rPr>
      <t>К</t>
    </r>
    <r>
      <rPr>
        <b/>
        <vertAlign val="subscript"/>
        <sz val="10"/>
        <color indexed="12"/>
        <rFont val="Arial Cyr"/>
        <family val="0"/>
      </rPr>
      <t>1</t>
    </r>
    <r>
      <rPr>
        <sz val="9"/>
        <rFont val="Arial Cyr"/>
        <family val="0"/>
      </rPr>
      <t xml:space="preserve"> - коэффициент абсолютной ликвидности - отношение ликвидных активов ((250+260) к текущим обяза-</t>
    </r>
  </si>
  <si>
    <r>
      <t xml:space="preserve">  </t>
    </r>
    <r>
      <rPr>
        <sz val="10"/>
        <rFont val="Arial Cyr"/>
        <family val="0"/>
      </rPr>
      <t xml:space="preserve"> </t>
    </r>
    <r>
      <rPr>
        <b/>
        <sz val="10"/>
        <color indexed="12"/>
        <rFont val="Arial Cyr"/>
        <family val="0"/>
      </rPr>
      <t>К</t>
    </r>
    <r>
      <rPr>
        <b/>
        <vertAlign val="subscript"/>
        <sz val="10"/>
        <color indexed="12"/>
        <rFont val="Arial Cyr"/>
        <family val="0"/>
      </rPr>
      <t>2</t>
    </r>
    <r>
      <rPr>
        <sz val="9"/>
        <rFont val="Arial Cyr"/>
        <family val="0"/>
      </rPr>
      <t xml:space="preserve"> - коэффициент "критической оценки" - отношение ликвидных и быстрореализуемых активов (240+250+</t>
    </r>
  </si>
  <si>
    <t xml:space="preserve">           +260) к текущим обязательствам (610+620+660);</t>
  </si>
  <si>
    <r>
      <t xml:space="preserve">  </t>
    </r>
    <r>
      <rPr>
        <sz val="10"/>
        <rFont val="Arial Cyr"/>
        <family val="0"/>
      </rPr>
      <t xml:space="preserve"> </t>
    </r>
    <r>
      <rPr>
        <b/>
        <sz val="10"/>
        <color indexed="12"/>
        <rFont val="Arial Cyr"/>
        <family val="0"/>
      </rPr>
      <t>К</t>
    </r>
    <r>
      <rPr>
        <b/>
        <vertAlign val="subscript"/>
        <sz val="10"/>
        <color indexed="12"/>
        <rFont val="Arial Cyr"/>
        <family val="0"/>
      </rPr>
      <t>3</t>
    </r>
    <r>
      <rPr>
        <sz val="9"/>
        <rFont val="Arial Cyr"/>
        <family val="0"/>
      </rPr>
      <t xml:space="preserve"> - коэффициент текущей ликвидности - отношение оборотных средств (210+230+240+250+260+270) к</t>
    </r>
  </si>
  <si>
    <t xml:space="preserve">  Система показателей позволяет с высокой степенью достоверности определить степень финансовой </t>
  </si>
  <si>
    <t xml:space="preserve">   устойчивости организации, что крайне необходимо в условиях финансово-экономического кризиса, когда 
</t>
  </si>
  <si>
    <t>объективная оценка финансового состояния хозяйствующего субъекта имеет приоритетное значение.</t>
  </si>
  <si>
    <t>Наумов И.В.</t>
  </si>
  <si>
    <t>Королева И.В.</t>
  </si>
  <si>
    <t xml:space="preserve">           текущим обязательствам (610+620+660);</t>
  </si>
  <si>
    <r>
      <t xml:space="preserve">  </t>
    </r>
    <r>
      <rPr>
        <sz val="10"/>
        <rFont val="Arial Cyr"/>
        <family val="0"/>
      </rPr>
      <t xml:space="preserve"> </t>
    </r>
    <r>
      <rPr>
        <b/>
        <sz val="10"/>
        <color indexed="12"/>
        <rFont val="Arial Cyr"/>
        <family val="0"/>
      </rPr>
      <t>К</t>
    </r>
    <r>
      <rPr>
        <b/>
        <vertAlign val="subscript"/>
        <sz val="10"/>
        <color indexed="12"/>
        <rFont val="Arial Cyr"/>
        <family val="0"/>
      </rPr>
      <t>4</t>
    </r>
    <r>
      <rPr>
        <sz val="9"/>
        <rFont val="Arial Cyr"/>
        <family val="0"/>
      </rPr>
      <t xml:space="preserve"> - коэффициент обеспеченности собственными средствами - отношение собственных капиталов без</t>
    </r>
  </si>
  <si>
    <t xml:space="preserve">           учета внеоборотных активов (490-190) к оборотным активам (290);</t>
  </si>
  <si>
    <r>
      <t xml:space="preserve">  </t>
    </r>
    <r>
      <rPr>
        <sz val="10"/>
        <rFont val="Arial Cyr"/>
        <family val="0"/>
      </rPr>
      <t xml:space="preserve"> </t>
    </r>
    <r>
      <rPr>
        <b/>
        <sz val="10"/>
        <color indexed="12"/>
        <rFont val="Arial Cyr"/>
        <family val="0"/>
      </rPr>
      <t>К</t>
    </r>
    <r>
      <rPr>
        <b/>
        <vertAlign val="subscript"/>
        <sz val="10"/>
        <color indexed="12"/>
        <rFont val="Arial Cyr"/>
        <family val="0"/>
      </rPr>
      <t>5</t>
    </r>
    <r>
      <rPr>
        <sz val="9"/>
        <rFont val="Arial Cyr"/>
        <family val="0"/>
      </rPr>
      <t>- коэффициент финансовой независимости - отношение собственных капиталов (490) к итогу балан-</t>
    </r>
  </si>
  <si>
    <t xml:space="preserve">          со (700);</t>
  </si>
  <si>
    <r>
      <t xml:space="preserve">  </t>
    </r>
    <r>
      <rPr>
        <sz val="10"/>
        <rFont val="Arial Cyr"/>
        <family val="0"/>
      </rPr>
      <t xml:space="preserve"> </t>
    </r>
    <r>
      <rPr>
        <b/>
        <sz val="10"/>
        <color indexed="12"/>
        <rFont val="Arial Cyr"/>
        <family val="0"/>
      </rPr>
      <t>К</t>
    </r>
    <r>
      <rPr>
        <b/>
        <vertAlign val="subscript"/>
        <sz val="10"/>
        <color indexed="12"/>
        <rFont val="Arial Cyr"/>
        <family val="0"/>
      </rPr>
      <t>6</t>
    </r>
    <r>
      <rPr>
        <sz val="9"/>
        <rFont val="Arial Cyr"/>
        <family val="0"/>
      </rPr>
      <t>- коэффициент финансовой независимости в части формирования запасов и затрат - отношение соб-</t>
    </r>
  </si>
  <si>
    <t xml:space="preserve">          ценностям (210+220).</t>
  </si>
  <si>
    <t xml:space="preserve">          ственных капиталов (490) к сумме запасов и налога на добавленную стоимость по приобретенным</t>
  </si>
  <si>
    <t xml:space="preserve">           тельствам (610+620+660); ………………………………………………………</t>
  </si>
  <si>
    <r>
      <t>К</t>
    </r>
    <r>
      <rPr>
        <b/>
        <vertAlign val="subscript"/>
        <sz val="11"/>
        <color indexed="10"/>
        <rFont val="Arial Cyr"/>
        <family val="0"/>
      </rPr>
      <t>1</t>
    </r>
    <r>
      <rPr>
        <b/>
        <sz val="11"/>
        <color indexed="10"/>
        <rFont val="Arial Cyr"/>
        <family val="0"/>
      </rPr>
      <t>=</t>
    </r>
  </si>
  <si>
    <r>
      <t>К</t>
    </r>
    <r>
      <rPr>
        <b/>
        <vertAlign val="subscript"/>
        <sz val="11"/>
        <color indexed="10"/>
        <rFont val="Arial Cyr"/>
        <family val="0"/>
      </rPr>
      <t>2</t>
    </r>
    <r>
      <rPr>
        <b/>
        <sz val="11"/>
        <color indexed="10"/>
        <rFont val="Arial Cyr"/>
        <family val="0"/>
      </rPr>
      <t>=</t>
    </r>
  </si>
  <si>
    <r>
      <t>К</t>
    </r>
    <r>
      <rPr>
        <b/>
        <vertAlign val="subscript"/>
        <sz val="11"/>
        <color indexed="10"/>
        <rFont val="Arial Cyr"/>
        <family val="0"/>
      </rPr>
      <t>3</t>
    </r>
    <r>
      <rPr>
        <b/>
        <sz val="11"/>
        <color indexed="10"/>
        <rFont val="Arial Cyr"/>
        <family val="0"/>
      </rPr>
      <t>=</t>
    </r>
  </si>
  <si>
    <r>
      <t>К</t>
    </r>
    <r>
      <rPr>
        <b/>
        <vertAlign val="subscript"/>
        <sz val="11"/>
        <color indexed="10"/>
        <rFont val="Arial Cyr"/>
        <family val="0"/>
      </rPr>
      <t>4</t>
    </r>
    <r>
      <rPr>
        <b/>
        <sz val="11"/>
        <color indexed="10"/>
        <rFont val="Arial Cyr"/>
        <family val="0"/>
      </rPr>
      <t>=</t>
    </r>
  </si>
  <si>
    <r>
      <t>К</t>
    </r>
    <r>
      <rPr>
        <b/>
        <vertAlign val="subscript"/>
        <sz val="11"/>
        <color indexed="10"/>
        <rFont val="Arial Cyr"/>
        <family val="0"/>
      </rPr>
      <t>5</t>
    </r>
    <r>
      <rPr>
        <b/>
        <sz val="11"/>
        <color indexed="10"/>
        <rFont val="Arial Cyr"/>
        <family val="0"/>
      </rPr>
      <t>=</t>
    </r>
  </si>
  <si>
    <r>
      <t>К</t>
    </r>
    <r>
      <rPr>
        <b/>
        <vertAlign val="subscript"/>
        <sz val="11"/>
        <color indexed="10"/>
        <rFont val="Arial Cyr"/>
        <family val="0"/>
      </rPr>
      <t>6</t>
    </r>
    <r>
      <rPr>
        <b/>
        <sz val="11"/>
        <color indexed="10"/>
        <rFont val="Arial Cyr"/>
        <family val="0"/>
      </rPr>
      <t>=</t>
    </r>
  </si>
  <si>
    <t>значениях оценочных коэффициентов:</t>
  </si>
  <si>
    <t>0,8-1</t>
  </si>
  <si>
    <t>1 и выше</t>
  </si>
  <si>
    <t xml:space="preserve">     Общая оценка финансовой устойчивости производится  по сумме баллов при следующих пограничных</t>
  </si>
  <si>
    <t>К=&gt;0,5</t>
  </si>
  <si>
    <t>0,4&lt;=K&lt;0,5</t>
  </si>
  <si>
    <t>0,3&lt;=K&lt;0,4</t>
  </si>
  <si>
    <t>0,2&lt;=K&lt;0,3</t>
  </si>
  <si>
    <t>К=&gt;1,5</t>
  </si>
  <si>
    <t>К=&gt;2,0</t>
  </si>
  <si>
    <t>К=&gt;0,6</t>
  </si>
  <si>
    <t>К=&gt;1,0</t>
  </si>
  <si>
    <r>
      <t>Коэффициент абсолютной ликвидности (</t>
    </r>
    <r>
      <rPr>
        <b/>
        <sz val="10"/>
        <color indexed="12"/>
        <rFont val="Arial Cyr"/>
        <family val="0"/>
      </rPr>
      <t>К</t>
    </r>
    <r>
      <rPr>
        <b/>
        <vertAlign val="subscript"/>
        <sz val="10"/>
        <color indexed="12"/>
        <rFont val="Arial Cyr"/>
        <family val="0"/>
      </rPr>
      <t>1</t>
    </r>
    <r>
      <rPr>
        <sz val="9"/>
        <rFont val="Arial Cyr"/>
        <family val="0"/>
      </rPr>
      <t>)</t>
    </r>
  </si>
  <si>
    <r>
      <t>Коэффициент "критической оценки" (</t>
    </r>
    <r>
      <rPr>
        <b/>
        <sz val="10"/>
        <color indexed="12"/>
        <rFont val="Arial Cyr"/>
        <family val="0"/>
      </rPr>
      <t>К</t>
    </r>
    <r>
      <rPr>
        <b/>
        <vertAlign val="subscript"/>
        <sz val="10"/>
        <color indexed="12"/>
        <rFont val="Arial Cyr"/>
        <family val="0"/>
      </rPr>
      <t>2</t>
    </r>
    <r>
      <rPr>
        <sz val="9"/>
        <rFont val="Arial Cyr"/>
        <family val="0"/>
      </rPr>
      <t>)</t>
    </r>
  </si>
  <si>
    <r>
      <t>Коэффициент текущей ликвидноси (</t>
    </r>
    <r>
      <rPr>
        <b/>
        <sz val="10"/>
        <color indexed="12"/>
        <rFont val="Arial Cyr"/>
        <family val="0"/>
      </rPr>
      <t>К</t>
    </r>
    <r>
      <rPr>
        <b/>
        <vertAlign val="subscript"/>
        <sz val="10"/>
        <color indexed="12"/>
        <rFont val="Arial Cyr"/>
        <family val="0"/>
      </rPr>
      <t>3</t>
    </r>
    <r>
      <rPr>
        <sz val="9"/>
        <rFont val="Arial Cyr"/>
        <family val="0"/>
      </rPr>
      <t>)</t>
    </r>
  </si>
  <si>
    <r>
      <t>Коэффициент обеспеченности собственными средствами (</t>
    </r>
    <r>
      <rPr>
        <b/>
        <sz val="9"/>
        <color indexed="12"/>
        <rFont val="Arial Cyr"/>
        <family val="0"/>
      </rPr>
      <t>К</t>
    </r>
    <r>
      <rPr>
        <b/>
        <vertAlign val="subscript"/>
        <sz val="9"/>
        <color indexed="12"/>
        <rFont val="Arial Cyr"/>
        <family val="0"/>
      </rPr>
      <t>4</t>
    </r>
    <r>
      <rPr>
        <sz val="9"/>
        <rFont val="Arial Cyr"/>
        <family val="0"/>
      </rPr>
      <t>)</t>
    </r>
  </si>
  <si>
    <r>
      <t>Коэффициент финансовой независимости (</t>
    </r>
    <r>
      <rPr>
        <b/>
        <sz val="10"/>
        <color indexed="12"/>
        <rFont val="Arial Cyr"/>
        <family val="0"/>
      </rPr>
      <t>К</t>
    </r>
    <r>
      <rPr>
        <b/>
        <vertAlign val="subscript"/>
        <sz val="10"/>
        <color indexed="12"/>
        <rFont val="Arial Cyr"/>
        <family val="0"/>
      </rPr>
      <t>5</t>
    </r>
    <r>
      <rPr>
        <sz val="9"/>
        <rFont val="Arial Cyr"/>
        <family val="0"/>
      </rPr>
      <t>)</t>
    </r>
  </si>
  <si>
    <r>
      <t>Коэф.финан.независимости в части формирован.запасов и затрат (</t>
    </r>
    <r>
      <rPr>
        <b/>
        <sz val="10"/>
        <color indexed="12"/>
        <rFont val="Arial Cyr"/>
        <family val="0"/>
      </rPr>
      <t>К</t>
    </r>
    <r>
      <rPr>
        <b/>
        <vertAlign val="subscript"/>
        <sz val="10"/>
        <color indexed="12"/>
        <rFont val="Arial Cyr"/>
        <family val="0"/>
      </rPr>
      <t>6</t>
    </r>
    <r>
      <rPr>
        <sz val="9"/>
        <rFont val="Arial Cyr"/>
        <family val="0"/>
      </rPr>
      <t>)</t>
    </r>
  </si>
  <si>
    <t>1,4&lt;=K&lt;1,5</t>
  </si>
  <si>
    <t>1,8&lt;=K&lt;2,0</t>
  </si>
  <si>
    <t>0,56&lt;=K&lt;0,6</t>
  </si>
  <si>
    <t>0,9&lt;=K&lt;1,0</t>
  </si>
  <si>
    <t>1,3&lt;=K&lt;1,4</t>
  </si>
  <si>
    <t>1,5&lt;=K&lt;1,8</t>
  </si>
  <si>
    <t>0,5&lt;=K&lt;0,56</t>
  </si>
  <si>
    <t>0,8&lt;=K&lt;0,9</t>
  </si>
  <si>
    <t>1,2&lt;=K&lt;1,3</t>
  </si>
  <si>
    <t>1,2&lt;=K&lt;1,5</t>
  </si>
  <si>
    <t>0,44&lt;=K&lt;0,5</t>
  </si>
  <si>
    <t>0,65&lt;=K&lt;0,8</t>
  </si>
  <si>
    <t>K&lt;0,2</t>
  </si>
  <si>
    <t>K&lt;1,2</t>
  </si>
  <si>
    <t>K&lt;0,44</t>
  </si>
  <si>
    <t>K&lt;0,65</t>
  </si>
  <si>
    <t>СПРАВКА:</t>
  </si>
  <si>
    <t>Коэффициент маневренности собственного капитала</t>
  </si>
  <si>
    <t>6.СТРУКТУРА ЗАТРАТ</t>
  </si>
  <si>
    <t>6.1</t>
  </si>
  <si>
    <t>Затраты на оплату труда с отчислениями на социальные нужды, тыс.руб.</t>
  </si>
  <si>
    <t>6.2</t>
  </si>
  <si>
    <t>6.3</t>
  </si>
  <si>
    <t>6.4</t>
  </si>
  <si>
    <t>Материалы, тыс.руб.</t>
  </si>
  <si>
    <t>Амортизация основных средств производства, тыс.руб.</t>
  </si>
  <si>
    <t>Прочие затраты, тыс.руб.</t>
  </si>
  <si>
    <t>Итого затрат, тыс.руб.</t>
  </si>
  <si>
    <t>7.ОПЛАТА ТРУДА</t>
  </si>
  <si>
    <t>7.1.</t>
  </si>
  <si>
    <t>Среднемесячная заработная плата работника, руб.</t>
  </si>
  <si>
    <t>7.2.</t>
  </si>
  <si>
    <t>Задолженность по заработной плате на конец периода, мес.</t>
  </si>
  <si>
    <t>8.АНАЛИЗ ВЕРОЯТНОСТИ БАНКРОТСТВА ПО МОДЕЛИ АЛЬТМАНА</t>
  </si>
  <si>
    <t>где,</t>
  </si>
  <si>
    <r>
      <t>Х</t>
    </r>
    <r>
      <rPr>
        <b/>
        <vertAlign val="subscript"/>
        <sz val="11"/>
        <rFont val="Arial Cyr"/>
        <family val="2"/>
      </rPr>
      <t>1</t>
    </r>
    <r>
      <rPr>
        <vertAlign val="subscript"/>
        <sz val="9"/>
        <rFont val="Arial Cyr"/>
        <family val="2"/>
      </rPr>
      <t xml:space="preserve"> </t>
    </r>
    <r>
      <rPr>
        <sz val="9"/>
        <rFont val="Arial Cyr"/>
        <family val="0"/>
      </rPr>
      <t xml:space="preserve">= </t>
    </r>
    <r>
      <rPr>
        <u val="single"/>
        <sz val="9"/>
        <rFont val="Arial Cyr"/>
        <family val="2"/>
      </rPr>
      <t>Оборотный капитал</t>
    </r>
    <r>
      <rPr>
        <sz val="9"/>
        <rFont val="Arial Cyr"/>
        <family val="0"/>
      </rPr>
      <t xml:space="preserve"> : </t>
    </r>
    <r>
      <rPr>
        <sz val="9"/>
        <color indexed="12"/>
        <rFont val="Arial Cyr"/>
        <family val="2"/>
      </rPr>
      <t>Всего активов</t>
    </r>
    <r>
      <rPr>
        <sz val="9"/>
        <rFont val="Arial Cyr"/>
        <family val="0"/>
      </rPr>
      <t>;</t>
    </r>
  </si>
  <si>
    <r>
      <t>Х</t>
    </r>
    <r>
      <rPr>
        <b/>
        <vertAlign val="subscript"/>
        <sz val="11"/>
        <rFont val="Arial Cyr"/>
        <family val="2"/>
      </rPr>
      <t>2</t>
    </r>
    <r>
      <rPr>
        <sz val="9"/>
        <rFont val="Arial Cyr"/>
        <family val="0"/>
      </rPr>
      <t xml:space="preserve"> = </t>
    </r>
    <r>
      <rPr>
        <u val="single"/>
        <sz val="9"/>
        <rFont val="Arial Cyr"/>
        <family val="2"/>
      </rPr>
      <t xml:space="preserve">Нераспределенная прибыль </t>
    </r>
    <r>
      <rPr>
        <sz val="9"/>
        <rFont val="Arial Cyr"/>
        <family val="0"/>
      </rPr>
      <t xml:space="preserve">: </t>
    </r>
    <r>
      <rPr>
        <sz val="9"/>
        <color indexed="12"/>
        <rFont val="Arial Cyr"/>
        <family val="2"/>
      </rPr>
      <t>Всего активов</t>
    </r>
    <r>
      <rPr>
        <sz val="9"/>
        <rFont val="Arial Cyr"/>
        <family val="0"/>
      </rPr>
      <t>;</t>
    </r>
  </si>
  <si>
    <r>
      <t>Х</t>
    </r>
    <r>
      <rPr>
        <b/>
        <vertAlign val="subscript"/>
        <sz val="11"/>
        <rFont val="Arial Cyr"/>
        <family val="2"/>
      </rPr>
      <t>3</t>
    </r>
    <r>
      <rPr>
        <b/>
        <sz val="11"/>
        <rFont val="Arial Cyr"/>
        <family val="2"/>
      </rPr>
      <t xml:space="preserve"> </t>
    </r>
    <r>
      <rPr>
        <sz val="9"/>
        <rFont val="Arial Cyr"/>
        <family val="0"/>
      </rPr>
      <t xml:space="preserve">= </t>
    </r>
    <r>
      <rPr>
        <u val="single"/>
        <sz val="9"/>
        <rFont val="Arial Cyr"/>
        <family val="2"/>
      </rPr>
      <t>Прибыль отчетного года</t>
    </r>
    <r>
      <rPr>
        <sz val="9"/>
        <rFont val="Arial Cyr"/>
        <family val="0"/>
      </rPr>
      <t xml:space="preserve"> : </t>
    </r>
    <r>
      <rPr>
        <sz val="9"/>
        <color indexed="12"/>
        <rFont val="Arial Cyr"/>
        <family val="2"/>
      </rPr>
      <t>Всего активов</t>
    </r>
    <r>
      <rPr>
        <sz val="9"/>
        <rFont val="Arial Cyr"/>
        <family val="0"/>
      </rPr>
      <t>;</t>
    </r>
  </si>
  <si>
    <r>
      <t>Х</t>
    </r>
    <r>
      <rPr>
        <b/>
        <vertAlign val="subscript"/>
        <sz val="11"/>
        <rFont val="Arial Cyr"/>
        <family val="2"/>
      </rPr>
      <t>4</t>
    </r>
    <r>
      <rPr>
        <sz val="9"/>
        <rFont val="Arial Cyr"/>
        <family val="0"/>
      </rPr>
      <t xml:space="preserve"> = </t>
    </r>
    <r>
      <rPr>
        <u val="single"/>
        <sz val="9"/>
        <rFont val="Arial Cyr"/>
        <family val="2"/>
      </rPr>
      <t>Уставный капитал</t>
    </r>
    <r>
      <rPr>
        <sz val="9"/>
        <rFont val="Arial Cyr"/>
        <family val="0"/>
      </rPr>
      <t xml:space="preserve"> : </t>
    </r>
    <r>
      <rPr>
        <sz val="9"/>
        <color indexed="12"/>
        <rFont val="Arial Cyr"/>
        <family val="2"/>
      </rPr>
      <t>Всего активов</t>
    </r>
    <r>
      <rPr>
        <sz val="9"/>
        <rFont val="Arial Cyr"/>
        <family val="0"/>
      </rPr>
      <t>;</t>
    </r>
  </si>
  <si>
    <r>
      <t>Х</t>
    </r>
    <r>
      <rPr>
        <b/>
        <vertAlign val="subscript"/>
        <sz val="11"/>
        <rFont val="Arial Cyr"/>
        <family val="2"/>
      </rPr>
      <t>5</t>
    </r>
    <r>
      <rPr>
        <sz val="9"/>
        <rFont val="Arial Cyr"/>
        <family val="0"/>
      </rPr>
      <t xml:space="preserve"> = </t>
    </r>
    <r>
      <rPr>
        <u val="single"/>
        <sz val="9"/>
        <rFont val="Arial Cyr"/>
        <family val="2"/>
      </rPr>
      <t>Выручка (нетто) от реализации</t>
    </r>
    <r>
      <rPr>
        <sz val="9"/>
        <rFont val="Arial Cyr"/>
        <family val="0"/>
      </rPr>
      <t xml:space="preserve"> : </t>
    </r>
    <r>
      <rPr>
        <sz val="9"/>
        <color indexed="12"/>
        <rFont val="Arial Cyr"/>
        <family val="2"/>
      </rPr>
      <t>Всего активов</t>
    </r>
    <r>
      <rPr>
        <sz val="9"/>
        <rFont val="Arial Cyr"/>
        <family val="0"/>
      </rPr>
      <t>.</t>
    </r>
  </si>
  <si>
    <t>значение</t>
  </si>
  <si>
    <r>
      <t>Z = 1,2X</t>
    </r>
    <r>
      <rPr>
        <b/>
        <vertAlign val="subscript"/>
        <sz val="14"/>
        <rFont val="Arial Cyr"/>
        <family val="2"/>
      </rPr>
      <t xml:space="preserve">1 </t>
    </r>
    <r>
      <rPr>
        <b/>
        <sz val="14"/>
        <rFont val="Arial Cyr"/>
        <family val="2"/>
      </rPr>
      <t>+ 1,4X</t>
    </r>
    <r>
      <rPr>
        <b/>
        <vertAlign val="subscript"/>
        <sz val="14"/>
        <rFont val="Arial Cyr"/>
        <family val="2"/>
      </rPr>
      <t>2</t>
    </r>
    <r>
      <rPr>
        <b/>
        <sz val="14"/>
        <rFont val="Arial Cyr"/>
        <family val="2"/>
      </rPr>
      <t xml:space="preserve"> + 3,3X</t>
    </r>
    <r>
      <rPr>
        <b/>
        <vertAlign val="subscript"/>
        <sz val="14"/>
        <rFont val="Arial Cyr"/>
        <family val="2"/>
      </rPr>
      <t xml:space="preserve">3 </t>
    </r>
    <r>
      <rPr>
        <b/>
        <sz val="14"/>
        <rFont val="Arial Cyr"/>
        <family val="2"/>
      </rPr>
      <t>+ 0,6X</t>
    </r>
    <r>
      <rPr>
        <b/>
        <vertAlign val="subscript"/>
        <sz val="14"/>
        <rFont val="Arial Cyr"/>
        <family val="2"/>
      </rPr>
      <t>4</t>
    </r>
    <r>
      <rPr>
        <b/>
        <sz val="14"/>
        <rFont val="Arial Cyr"/>
        <family val="2"/>
      </rPr>
      <t xml:space="preserve"> + X</t>
    </r>
    <r>
      <rPr>
        <b/>
        <vertAlign val="subscript"/>
        <sz val="14"/>
        <rFont val="Arial Cyr"/>
        <family val="2"/>
      </rPr>
      <t>5</t>
    </r>
  </si>
  <si>
    <t>ОЦЕНКА ФИНАНСОВО-ХОЗЯЙСТВЕННОЙ ДЕЯТЕЛЬНОСТИ</t>
  </si>
  <si>
    <t>Нормат.</t>
  </si>
  <si>
    <t>Анализ вероятности банкротства по модели Альтмана может быть произведен в том случае, если</t>
  </si>
  <si>
    <r>
      <t xml:space="preserve">комплексная оценка оказалась </t>
    </r>
    <r>
      <rPr>
        <u val="single"/>
        <sz val="9"/>
        <color indexed="12"/>
        <rFont val="Arial Cyr"/>
        <family val="2"/>
      </rPr>
      <t>"неудовлетворительной"</t>
    </r>
    <r>
      <rPr>
        <sz val="9"/>
        <rFont val="Arial Cyr"/>
        <family val="0"/>
      </rPr>
      <t>.</t>
    </r>
  </si>
  <si>
    <t>Вероятность банкротства при использовании данной модели определяется по комплексному пока-</t>
  </si>
  <si>
    <r>
      <t xml:space="preserve">зателю </t>
    </r>
    <r>
      <rPr>
        <b/>
        <sz val="11"/>
        <color indexed="12"/>
        <rFont val="Arial Cyr"/>
        <family val="2"/>
      </rPr>
      <t>Z</t>
    </r>
    <r>
      <rPr>
        <sz val="9"/>
        <color indexed="12"/>
        <rFont val="Arial Cyr"/>
        <family val="2"/>
      </rPr>
      <t xml:space="preserve"> </t>
    </r>
    <r>
      <rPr>
        <sz val="9"/>
        <rFont val="Arial Cyr"/>
        <family val="0"/>
      </rPr>
      <t>следующим образом:</t>
    </r>
  </si>
  <si>
    <r>
      <t xml:space="preserve">вероятность  банкротства высокая  при  </t>
    </r>
    <r>
      <rPr>
        <b/>
        <sz val="10"/>
        <color indexed="12"/>
        <rFont val="Arial Cyr"/>
        <family val="2"/>
      </rPr>
      <t xml:space="preserve"> Z &lt; 1,80</t>
    </r>
  </si>
  <si>
    <r>
      <t xml:space="preserve">вероятность   банкротства   низкая  при  </t>
    </r>
    <r>
      <rPr>
        <b/>
        <sz val="10"/>
        <color indexed="12"/>
        <rFont val="Arial Cyr"/>
        <family val="2"/>
      </rPr>
      <t>1,81 &lt; Z &lt; 2,70</t>
    </r>
  </si>
  <si>
    <r>
      <t xml:space="preserve">вероятность банкротства невелика  при  </t>
    </r>
    <r>
      <rPr>
        <b/>
        <sz val="10"/>
        <color indexed="12"/>
        <rFont val="Arial Cyr"/>
        <family val="2"/>
      </rPr>
      <t>2,71 &lt; Z &lt; 2,90</t>
    </r>
  </si>
  <si>
    <t>Прибыль (убыток) от обычной деятельности (строки 140-150)</t>
  </si>
  <si>
    <r>
      <t xml:space="preserve">вероятность    банкротства    мала  при </t>
    </r>
    <r>
      <rPr>
        <b/>
        <sz val="10"/>
        <color indexed="12"/>
        <rFont val="Arial Cyr"/>
        <family val="2"/>
      </rPr>
      <t xml:space="preserve"> 3,00 &lt; Z</t>
    </r>
  </si>
  <si>
    <t>Кредиторская задолженность</t>
  </si>
  <si>
    <t>нет</t>
  </si>
  <si>
    <t>Краткосрочные займы и кредиты (66)</t>
  </si>
  <si>
    <t>Период:</t>
  </si>
  <si>
    <t>годовая</t>
  </si>
  <si>
    <t>Добавочный капитал (83)</t>
  </si>
  <si>
    <t>Целевые финансирования и поступления (86)</t>
  </si>
  <si>
    <t>Нераспределенная прибыль прошлых лет (84)</t>
  </si>
  <si>
    <t>Непокрытый убыток прошлых лет (84)</t>
  </si>
  <si>
    <t>Непокрытый убыток отчетного года (84)</t>
  </si>
  <si>
    <t>Прочие долгосрочные обязательства</t>
  </si>
  <si>
    <t>V. КРАТКОСРОЧНЫЕ ОБЯЗАТЕЛЬСТВА</t>
  </si>
  <si>
    <t>Задолженность участникам (учредителям) по выплате доходов (75)</t>
  </si>
  <si>
    <t>Резервы предстоящих расходов (96)</t>
  </si>
  <si>
    <t>Прочие краткосрочные обязательства</t>
  </si>
  <si>
    <t>011</t>
  </si>
  <si>
    <t>012</t>
  </si>
  <si>
    <t>013</t>
  </si>
  <si>
    <t>014</t>
  </si>
  <si>
    <t>021</t>
  </si>
  <si>
    <t>022</t>
  </si>
  <si>
    <t>023</t>
  </si>
  <si>
    <t>024</t>
  </si>
  <si>
    <t>029</t>
  </si>
  <si>
    <t>Внереализационные доходы</t>
  </si>
  <si>
    <t>Доходы будущих периодов (86,98)</t>
  </si>
  <si>
    <t>Итого по разделу V</t>
  </si>
  <si>
    <t>Выручка (нетто) от продажи товаров, продукции, работ и услуг</t>
  </si>
  <si>
    <t>6. РАХОДЫ ПО ОБЫЧНЫМ ВИДАМ ДЕЯТЕЛЬНОСТИ</t>
  </si>
  <si>
    <t>За</t>
  </si>
  <si>
    <t>отчетный год</t>
  </si>
  <si>
    <t>предыдущий год</t>
  </si>
  <si>
    <t>Материальные затраты - всего</t>
  </si>
  <si>
    <t xml:space="preserve">                          покупное сырье для переработки</t>
  </si>
  <si>
    <t xml:space="preserve">Амортизация  </t>
  </si>
  <si>
    <t xml:space="preserve">Прочие затраты </t>
  </si>
  <si>
    <t xml:space="preserve">   в том числе налоги, отнесенные на затраты</t>
  </si>
  <si>
    <t xml:space="preserve">                                                                        резерва предстоящих расходов</t>
  </si>
  <si>
    <t xml:space="preserve">                                                                        расходов будущих периодов</t>
  </si>
  <si>
    <t>Изменен.остатков (прирост +), уменьшение -) : незавершен.произвв.</t>
  </si>
  <si>
    <t>Форма № 5 - АПК</t>
  </si>
  <si>
    <t>ОТЧЕТ О ЧИСЛЕННОСТИ И ЗАРАБОТНОЙ ПЛАТЕ РАБОТНИКОВ</t>
  </si>
  <si>
    <t>Выплаты</t>
  </si>
  <si>
    <t>соц.характ.</t>
  </si>
  <si>
    <t>за год зарпл.</t>
  </si>
  <si>
    <t>Сред.списоч.</t>
  </si>
  <si>
    <t>числ., чел.</t>
  </si>
  <si>
    <t xml:space="preserve">          из них :  рабочие постоянные</t>
  </si>
  <si>
    <t xml:space="preserve">                          рабочие сезонные и временные</t>
  </si>
  <si>
    <t xml:space="preserve">                          служащие</t>
  </si>
  <si>
    <t xml:space="preserve">                               из них руководители</t>
  </si>
  <si>
    <t xml:space="preserve">                                            специалисты</t>
  </si>
  <si>
    <t>051</t>
  </si>
  <si>
    <t>052</t>
  </si>
  <si>
    <t xml:space="preserve">                                              промышленной продукции</t>
  </si>
  <si>
    <t xml:space="preserve">                                              товаров</t>
  </si>
  <si>
    <t xml:space="preserve">                                              работ и услуг</t>
  </si>
  <si>
    <t>Себестоимость проданных товаров, продукции, работ и услуг</t>
  </si>
  <si>
    <t xml:space="preserve">                                                  промышленной продукции</t>
  </si>
  <si>
    <t xml:space="preserve">                                                  товаров</t>
  </si>
  <si>
    <t xml:space="preserve">                                                  работ и услуг</t>
  </si>
  <si>
    <t>Прибыль (убыток) от продаж (строки(029-030-040)</t>
  </si>
  <si>
    <t>Валовая прибыль (убыток) (строки 010-020)</t>
  </si>
  <si>
    <t>Прибыль (убыток) до налогообложения (строки 050+060-070+080+090-100+120-130)</t>
  </si>
  <si>
    <t>Налог на прибыль и иные аналогичные обязательные платежи</t>
  </si>
  <si>
    <t>IV. ЧРЕЗВЫЧАЙНЫЕ ДОХОДЫ И РАСХОДЫ</t>
  </si>
  <si>
    <t>Чистая прибыль (нераспределенная прибыль (убыток) отчетного периода)</t>
  </si>
  <si>
    <t>Внереализационные расходы</t>
  </si>
  <si>
    <t>Чрезвычайные доходы</t>
  </si>
  <si>
    <t>Чрезвычайные расходы</t>
  </si>
  <si>
    <t>Наименование организации</t>
  </si>
  <si>
    <t>Главный бухгалтер (Ф.И.О.)</t>
  </si>
  <si>
    <t>Руководитель (Ф.И.О.)</t>
  </si>
  <si>
    <t>Отчетный период:</t>
  </si>
  <si>
    <t>РЕКВИЗИТЫ ПРЕДПРИЯТИЯ</t>
  </si>
  <si>
    <t>Нераспределенная прибыль отчетного года (84)</t>
  </si>
  <si>
    <t>Итого по разделу III</t>
  </si>
  <si>
    <t>Долгосрочные займы и кредиты (67)</t>
  </si>
  <si>
    <t>Итого по разделу IV</t>
  </si>
  <si>
    <t xml:space="preserve">  в том числе кредиты банков (66)</t>
  </si>
  <si>
    <t xml:space="preserve">  в  том числе: поставщики и подрядчики (60,76)</t>
  </si>
  <si>
    <t xml:space="preserve">                         векселя к уплате (60)</t>
  </si>
  <si>
    <t xml:space="preserve">                         задолженность перед дочерними и зависимыми обществами (76)</t>
  </si>
  <si>
    <t xml:space="preserve">                         задолженность перед персоналом организации (70)</t>
  </si>
  <si>
    <t xml:space="preserve">                         задолженность перед гос.внебюджетными фондами (69)</t>
  </si>
  <si>
    <t xml:space="preserve">                         задолженность перед бюджетом (68)</t>
  </si>
  <si>
    <t xml:space="preserve">                         авансы полученные (62)</t>
  </si>
  <si>
    <t xml:space="preserve">                         прочие кредиторы (71,73,76)</t>
  </si>
  <si>
    <t>периода</t>
  </si>
  <si>
    <t>III. КАПИТАЛ И РЕЗЕРВЫ</t>
  </si>
  <si>
    <t>IV. ДОЛГОСРОЧНЫЕ ОБЯЗАТЕЛЬСТВА</t>
  </si>
  <si>
    <t>БУХГАЛТЕРСКИЙ БАЛАНС</t>
  </si>
  <si>
    <t>с 1 января по 31 марта</t>
  </si>
  <si>
    <t>с 1 июля по 30 сентября</t>
  </si>
  <si>
    <t>с 1 октября по 31 декабря</t>
  </si>
  <si>
    <t>с 1 января по 31 декабря</t>
  </si>
  <si>
    <t>За отч.</t>
  </si>
  <si>
    <t>I. ДОХОДЫ И РАСХОДЫ ПО ОБЫЧНЫМ ВИДАМ ДЕЯТЕЛЬНОСТИ</t>
  </si>
  <si>
    <t>II. ОПЕРАЦИОННЫЕ ДОХОДЫ И РАСХОДЫ</t>
  </si>
  <si>
    <t>III. ВНЕРЕАЛИЗАЦИОННЫЕ ДОХОДЫ И РАСХОДЫ</t>
  </si>
  <si>
    <t>Налог на добавленную стоимость по приобретенным ценностям (19)</t>
  </si>
  <si>
    <t>Долгосрочная дебиторская задолженность</t>
  </si>
  <si>
    <t>Краткосрочная дебиторская задолженность</t>
  </si>
  <si>
    <t xml:space="preserve"> в том числе: задолженность участников по взносам в уставный капитал (75)</t>
  </si>
  <si>
    <t>Краткосрочные финансовые вложения (58,59,81)</t>
  </si>
  <si>
    <t xml:space="preserve"> в том числе: собственные акции, выкупленные у акционеров (81)</t>
  </si>
  <si>
    <t>Денежные средства (50,51,52,55,57)</t>
  </si>
  <si>
    <t>Итого по разделу  II</t>
  </si>
  <si>
    <t>Б А Л А Н С</t>
  </si>
  <si>
    <t>Уставный капитал (80)</t>
  </si>
  <si>
    <t>Резервный капитал (82)</t>
  </si>
  <si>
    <t>Нематериальные активы</t>
  </si>
  <si>
    <t>Незавершенное строительство (07,08,15,16,60)</t>
  </si>
  <si>
    <t>Доходные вложения в материальные ценности (02,03)</t>
  </si>
  <si>
    <t>Долгосрочные финансовые вложения (58,59,63)</t>
  </si>
  <si>
    <t>Итого по разделу I</t>
  </si>
  <si>
    <t>I. ВНЕОБОРОТНЫЕ  АКТИВЫ</t>
  </si>
  <si>
    <t>II. ОБОРОТНЫЕ  АКТИВЫ</t>
  </si>
  <si>
    <t xml:space="preserve">З а п а с ы </t>
  </si>
  <si>
    <t xml:space="preserve">   в том числе: сырье, материалы (10,14,15)</t>
  </si>
  <si>
    <t xml:space="preserve">                           животные на выращивании и откорме (11)</t>
  </si>
  <si>
    <t xml:space="preserve">                           затраты в незавершенном производстве (14,20,21,23,29,44,46)</t>
  </si>
  <si>
    <t xml:space="preserve">                           готовая продукция и товары для перепродажи (14,41,42,43)</t>
  </si>
  <si>
    <t xml:space="preserve">                           товары отгруженные (45)</t>
  </si>
  <si>
    <t>II. ОСНОВНЫЕ СРЕДСТВА</t>
  </si>
  <si>
    <t>Земельные участки и объекты природопользования</t>
  </si>
  <si>
    <t>СПРАВКА К РАЗДЕЛУ 3</t>
  </si>
  <si>
    <t xml:space="preserve">                         Прочие краткосрочные активы</t>
  </si>
  <si>
    <t>1.ОЦЕНКА  ИМУЩЕСТВЕННОГО  ПОЛОЖЕНИЯ ОРГАНИЗАЦИИ</t>
  </si>
  <si>
    <t>Коэффициент соотношения оборотных и внеоборотных активов</t>
  </si>
  <si>
    <t>Коэффициент инвестиционной активности</t>
  </si>
  <si>
    <t>Коэффициент имущества производственного назначения</t>
  </si>
  <si>
    <t>Величина абсолютно ликвидных активов (А1)</t>
  </si>
  <si>
    <t>Величина быстро реализуемых активов(А2)</t>
  </si>
  <si>
    <t>Величина медленно реализуемых активов (А3)</t>
  </si>
  <si>
    <t>1.8</t>
  </si>
  <si>
    <t>1.9</t>
  </si>
  <si>
    <t>1.10</t>
  </si>
  <si>
    <t>1.11</t>
  </si>
  <si>
    <t>1.12</t>
  </si>
  <si>
    <t>1.13</t>
  </si>
  <si>
    <t>Величина трудно реализуемых активов (А4)</t>
  </si>
  <si>
    <t>Величина ликвидных активов</t>
  </si>
  <si>
    <t>Стоимость иммобилизованных активов</t>
  </si>
  <si>
    <t>Общая величина запасов(стоимость материальных оборотных активов)</t>
  </si>
  <si>
    <t>Общая величина финансовых вложений</t>
  </si>
  <si>
    <t>Величина потенциальных оборотных активов к возврату</t>
  </si>
  <si>
    <t>Коэффициент просроченной дебиторской задолженности</t>
  </si>
  <si>
    <t>2.ОЦЕНКА  КАПИТАЛА ОРГАНИЗАЦИИ</t>
  </si>
  <si>
    <t>2.11</t>
  </si>
  <si>
    <t>2.12</t>
  </si>
  <si>
    <t>2.13</t>
  </si>
  <si>
    <t>2.14</t>
  </si>
  <si>
    <t>Величина собственного капитала организации</t>
  </si>
  <si>
    <t>Величина обязательств (заемного капитала)</t>
  </si>
  <si>
    <t>Величина долгосрочных заемных источников финансирования</t>
  </si>
  <si>
    <t>Величина собственного капитала и других долгосрочных источников финансирования</t>
  </si>
  <si>
    <t>Величина краткосрочных обязательств, принимаемых в расчет коэффициентов текущей, критической и абсолютной ликвидности</t>
  </si>
  <si>
    <t>Величина наиболее срочных обязательств (П1)</t>
  </si>
  <si>
    <t>Величина краткосрочных пассивов (П2)</t>
  </si>
  <si>
    <t>Величина долгосрочных пассивов (П3)</t>
  </si>
  <si>
    <t>Величина постоянных пассивов (П4)</t>
  </si>
  <si>
    <t>Коэффициент накопления собственного капитала</t>
  </si>
  <si>
    <t>Коэффициент использования собственного капитала на соц. цели</t>
  </si>
  <si>
    <t>Коэффициент долгосрочного привлечения капитала</t>
  </si>
  <si>
    <t>Коэффициент краткосрочной задолженности</t>
  </si>
  <si>
    <t>Коэффициент кредиторской задолженности</t>
  </si>
  <si>
    <t>3.9</t>
  </si>
  <si>
    <t>3.10</t>
  </si>
  <si>
    <t>3.11</t>
  </si>
  <si>
    <t>3.12</t>
  </si>
  <si>
    <t>3.13</t>
  </si>
  <si>
    <t>3.14</t>
  </si>
  <si>
    <t>3.15</t>
  </si>
  <si>
    <t>3.16</t>
  </si>
  <si>
    <t>3.17</t>
  </si>
  <si>
    <t>3.18</t>
  </si>
  <si>
    <t>3.19</t>
  </si>
  <si>
    <t>Величина обязательств, принимаемых в расчет чистых активов</t>
  </si>
  <si>
    <t>Чистые активы</t>
  </si>
  <si>
    <t>Величина собственного оборотного капитала</t>
  </si>
  <si>
    <t>Финансово-эксплуатационные  потребности организации (ФЭП)</t>
  </si>
  <si>
    <t>Коэффициент обеспеченности оборотных активов собственными средствами</t>
  </si>
  <si>
    <t>Величина чистых оборотных активов (реальных собственных оборотных..средств)</t>
  </si>
  <si>
    <t>Коэффициент обеспеченности запасов собственными средствами</t>
  </si>
  <si>
    <t>Коэффициент постоянного (внеоборотного) актива</t>
  </si>
  <si>
    <t>Коэффициент инвестирования собственных средств</t>
  </si>
  <si>
    <t>Коэффициент автономии</t>
  </si>
  <si>
    <t>Коэффициент финансовой устойчивости (обеспеченности долгосрочными источниками финансирования)</t>
  </si>
  <si>
    <t>Коэффициент автономии источников формирования запасов</t>
  </si>
  <si>
    <t>Финансовый рычаг (финансовый леверидж)</t>
  </si>
  <si>
    <t>Коэффициент самофинансирования</t>
  </si>
  <si>
    <t>Коэффициент устойчивости самофинансирования</t>
  </si>
  <si>
    <t>Величина активов, принимаемых в расчет чистых активов</t>
  </si>
  <si>
    <t>Коэффициент финансовой активности (коэффициент квоты собственника, плечо финансового рычага, левериджа)</t>
  </si>
  <si>
    <t xml:space="preserve">  3.ОЦЕНКА ФИНАНСОВОЙ УСТОЙЧИВОСТИ И УРОВНЯ САМОФИНАНСИРОВАНИЯ</t>
  </si>
  <si>
    <t xml:space="preserve">  4.ОЦЕНКА ПЛАТЕЖЕСПОСОБНОСТИ ОРГАНИЗАЦИИ</t>
  </si>
  <si>
    <t>больше 2</t>
  </si>
  <si>
    <t>Коэффициент критической ликвидности (промежуточного покрытия)</t>
  </si>
  <si>
    <t>больше 1</t>
  </si>
  <si>
    <t>Коэффициент срочной (мгновенной) ликвидности</t>
  </si>
  <si>
    <t>Коэффициент платежеспособности за период</t>
  </si>
  <si>
    <t>Коэффициент утраты платежеспособности</t>
  </si>
  <si>
    <t>Коэффициент восстановления платежеспособности</t>
  </si>
  <si>
    <t>Коэффициент покрытия обязательств (чистыми активами)</t>
  </si>
  <si>
    <t>Степень платежеспособности (общая)</t>
  </si>
  <si>
    <t>Коэффициент задолженности другим организациям</t>
  </si>
  <si>
    <t>Коэффициент задолженности фискальной системе</t>
  </si>
  <si>
    <t>Коэффициент внутреннего долга</t>
  </si>
  <si>
    <t>Степень платежеспособности по текущим обязательствам</t>
  </si>
  <si>
    <t>Коэффициент защищенности кредиторов (сила воздействия финансового рычага)</t>
  </si>
  <si>
    <t>Соотношение кредиторской и краткосрочной дебиторской задолженности</t>
  </si>
  <si>
    <t>На начало</t>
  </si>
  <si>
    <t>отчетного года</t>
  </si>
  <si>
    <t>На конец</t>
  </si>
  <si>
    <t>Амортизация имущества: нематериальных активов</t>
  </si>
  <si>
    <t xml:space="preserve">                                             основных средств - всего</t>
  </si>
  <si>
    <t xml:space="preserve">                                                в том числе зданий и сооружений</t>
  </si>
  <si>
    <t xml:space="preserve">                                                                      машин, оборудования, трансп.</t>
  </si>
  <si>
    <t xml:space="preserve">                                                                      других</t>
  </si>
  <si>
    <t>1.1</t>
  </si>
  <si>
    <t>1.2</t>
  </si>
  <si>
    <t>1.3</t>
  </si>
  <si>
    <t>1.4</t>
  </si>
  <si>
    <t>1.5</t>
  </si>
  <si>
    <t>1.7</t>
  </si>
  <si>
    <t>2.3</t>
  </si>
  <si>
    <t>Коэффициент текущей ликвидности</t>
  </si>
  <si>
    <t>2.4</t>
  </si>
  <si>
    <t>2.5</t>
  </si>
  <si>
    <t>Коэффициент абсолютной ликвидности (платежеспособности)</t>
  </si>
  <si>
    <t>2.8</t>
  </si>
  <si>
    <t>2.10</t>
  </si>
  <si>
    <t>3.1</t>
  </si>
  <si>
    <t>3.2</t>
  </si>
  <si>
    <t>3.4</t>
  </si>
  <si>
    <t>3.3</t>
  </si>
  <si>
    <t>3.5</t>
  </si>
  <si>
    <t>3.6</t>
  </si>
  <si>
    <t>Коэффициент долгосрочного привлечения заемных средств</t>
  </si>
  <si>
    <t>3.7</t>
  </si>
  <si>
    <t>3.8</t>
  </si>
  <si>
    <t xml:space="preserve">  в том числе от продажи: </t>
  </si>
  <si>
    <t xml:space="preserve">  в том числе от проданных:</t>
  </si>
  <si>
    <t>По организации - всего</t>
  </si>
  <si>
    <t xml:space="preserve">  в том числе работники, занятые в производстве</t>
  </si>
  <si>
    <r>
      <t xml:space="preserve">5 -я группа - сумма баллов составляет </t>
    </r>
    <r>
      <rPr>
        <b/>
        <sz val="10"/>
        <color indexed="10"/>
        <rFont val="Arial Cyr"/>
        <family val="0"/>
      </rPr>
      <t>18,0 и менее</t>
    </r>
  </si>
  <si>
    <r>
      <t xml:space="preserve">1 -я группа - сумма баллов составляет </t>
    </r>
    <r>
      <rPr>
        <b/>
        <sz val="10"/>
        <color indexed="10"/>
        <rFont val="Arial Cyr"/>
        <family val="0"/>
      </rPr>
      <t>100,0 - 92,0</t>
    </r>
  </si>
  <si>
    <r>
      <t>2 -я группа - сумма баллов составляет</t>
    </r>
    <r>
      <rPr>
        <b/>
        <sz val="10"/>
        <color indexed="10"/>
        <rFont val="Arial Cyr"/>
        <family val="0"/>
      </rPr>
      <t xml:space="preserve"> 91,9 - 54,0</t>
    </r>
  </si>
  <si>
    <r>
      <t xml:space="preserve">3 -я группа - сумма баллов составляет </t>
    </r>
    <r>
      <rPr>
        <b/>
        <sz val="10"/>
        <color indexed="10"/>
        <rFont val="Arial Cyr"/>
        <family val="0"/>
      </rPr>
      <t>53,9 - 22</t>
    </r>
  </si>
  <si>
    <r>
      <t xml:space="preserve">4 -я группа - сумма баллов составляет </t>
    </r>
    <r>
      <rPr>
        <b/>
        <sz val="10"/>
        <color indexed="10"/>
        <rFont val="Arial Cyr"/>
        <family val="0"/>
      </rPr>
      <t>18,1 - 21,9</t>
    </r>
  </si>
  <si>
    <t>4.1</t>
  </si>
  <si>
    <t>4.2</t>
  </si>
  <si>
    <t>4.3</t>
  </si>
  <si>
    <t>4.4</t>
  </si>
  <si>
    <t>4.5</t>
  </si>
  <si>
    <t>4.6</t>
  </si>
  <si>
    <t>4.7</t>
  </si>
  <si>
    <t>4.8</t>
  </si>
  <si>
    <t>4.9</t>
  </si>
  <si>
    <t>4.10</t>
  </si>
  <si>
    <t>4.11</t>
  </si>
  <si>
    <t>4.12</t>
  </si>
  <si>
    <t>4.13</t>
  </si>
  <si>
    <t>4.15</t>
  </si>
  <si>
    <t>4.16</t>
  </si>
  <si>
    <t>5.1</t>
  </si>
  <si>
    <t>5.3</t>
  </si>
  <si>
    <t>5.4</t>
  </si>
  <si>
    <t>5.5</t>
  </si>
  <si>
    <t>Основные средства (01, 02, 03)</t>
  </si>
  <si>
    <t>010</t>
  </si>
  <si>
    <t>020</t>
  </si>
  <si>
    <t>Коммерческие расходы</t>
  </si>
  <si>
    <t>030</t>
  </si>
  <si>
    <t>Управленческие расходы</t>
  </si>
  <si>
    <t>040</t>
  </si>
  <si>
    <t>140</t>
  </si>
  <si>
    <t>4.14</t>
  </si>
  <si>
    <t>5.2</t>
  </si>
  <si>
    <t xml:space="preserve">02.Доля основных средствв активах </t>
  </si>
  <si>
    <t xml:space="preserve">03.Доля активной части основных средств </t>
  </si>
  <si>
    <t xml:space="preserve">04.Коэффициент износа основных средств </t>
  </si>
  <si>
    <t>05.Коэф.износа активной части осн.средств</t>
  </si>
  <si>
    <t xml:space="preserve">06.Коэф.обновления основных средств </t>
  </si>
  <si>
    <t xml:space="preserve">07.Коэф. выбытия основных средств </t>
  </si>
  <si>
    <t>08.Собственные оборотные средства</t>
  </si>
  <si>
    <t>09.Коэф. маневренности собст.оборот.средств</t>
  </si>
  <si>
    <t>10.Коэффициент текущей ликвидности</t>
  </si>
  <si>
    <t>11.Коэффициент быстрой ликвидности</t>
  </si>
  <si>
    <t>12.Коэф.абсол.ликвидн.(платежеспособности)</t>
  </si>
  <si>
    <t>13.Доля оборотных средств в активах</t>
  </si>
  <si>
    <t>14.Доля собст.обор.средств в общей их сумме</t>
  </si>
  <si>
    <t>15.Доля запасов в оборотных активах</t>
  </si>
  <si>
    <t>16.Доля соб.обор.средств в покрытии запасов</t>
  </si>
  <si>
    <t>17.Коэффициент покрытия запасов</t>
  </si>
  <si>
    <t>18.Коэф. концентрации собственного капитала</t>
  </si>
  <si>
    <t>19.Коэффициент финансовой зависимости</t>
  </si>
  <si>
    <t>20.Коэф. маневренности собствен.капитала</t>
  </si>
  <si>
    <t>21.Коэф. концентрации заемного капитала</t>
  </si>
  <si>
    <t>22.Коэф.структуры долгосрочных вложений</t>
  </si>
  <si>
    <t>23.Коэф.долгосроч.привлечения заемн.средств</t>
  </si>
  <si>
    <t>24.Коэффициент структуры заемного капитала</t>
  </si>
  <si>
    <t>25.Коэф.соотношения собств.и заемн. средств</t>
  </si>
  <si>
    <t>26.Выручка от реализации, тыс.руб.</t>
  </si>
  <si>
    <t>27.Чистая прибыль, тыс.руб.</t>
  </si>
  <si>
    <t>28.Производительность труда, тыс.руб. на чел.</t>
  </si>
  <si>
    <t>29.Фондоотдача, выручка на руб.осн.фондов</t>
  </si>
  <si>
    <t>30.Оборачиваемость средств в расч.(в оборот.)</t>
  </si>
  <si>
    <t>31.Оборачиваемость средств в расчетах (дней)</t>
  </si>
  <si>
    <t>32.Оборачиваемость запасов (в оборотах)</t>
  </si>
  <si>
    <t>33.Оборачиваемость запасов (в днях)</t>
  </si>
  <si>
    <t>34.Оборачиваемость кредитор.задолж.(дней)</t>
  </si>
  <si>
    <t>145</t>
  </si>
  <si>
    <t>Отложенные налоговые активы</t>
  </si>
  <si>
    <t xml:space="preserve">                           расходы будущих периодов </t>
  </si>
  <si>
    <t xml:space="preserve">                           прочие запасы и затраты</t>
  </si>
  <si>
    <t xml:space="preserve">                         в том числе покупатели и заказчики</t>
  </si>
  <si>
    <t>Отложенные налоговые обязательства</t>
  </si>
  <si>
    <t>141</t>
  </si>
  <si>
    <t>142</t>
  </si>
  <si>
    <t>35.Продолжительность операц.цикла (дней)</t>
  </si>
  <si>
    <t>36.Продолжительность финанс. цикла (дней)</t>
  </si>
  <si>
    <t>37.Коэф. погашаемости дебитор.задолжен.</t>
  </si>
  <si>
    <t>38.Оборачиваемость собств. капитала (в обор.)</t>
  </si>
  <si>
    <t>39.Оборачиваемость совокупного капитала</t>
  </si>
  <si>
    <t>40.Коэф. устойчивости экономического роста</t>
  </si>
  <si>
    <t>41.Ренетабельность продукции (проц.)</t>
  </si>
  <si>
    <t>42.Рентабельность осн.деятельности (проц.)</t>
  </si>
  <si>
    <t>43.Рентабельность совокупного капит.(проц.)</t>
  </si>
  <si>
    <t>44.Рентабельность собствен.капитала (проц.)</t>
  </si>
  <si>
    <t>45.Период окупаемости собст. капитала (дней)</t>
  </si>
  <si>
    <t>46.Доход (прибыль) на акцию, руб.</t>
  </si>
  <si>
    <t>47.Ценность акции</t>
  </si>
  <si>
    <t>48.Дивидендная доходность акции</t>
  </si>
  <si>
    <t>49.Дивидендный выход</t>
  </si>
  <si>
    <t>50.Коэффициент котировки акции</t>
  </si>
  <si>
    <t>01.Средства в распоряжении организации</t>
  </si>
  <si>
    <r>
      <t>51.Модель Альтмана - коэффициент Х</t>
    </r>
    <r>
      <rPr>
        <vertAlign val="subscript"/>
        <sz val="9"/>
        <rFont val="Arial Cyr"/>
        <family val="0"/>
      </rPr>
      <t>1</t>
    </r>
  </si>
  <si>
    <r>
      <t>52.Модель Альтмана - коэффициент Х</t>
    </r>
    <r>
      <rPr>
        <vertAlign val="subscript"/>
        <sz val="9"/>
        <rFont val="Arial Cyr"/>
        <family val="0"/>
      </rPr>
      <t>2</t>
    </r>
  </si>
  <si>
    <r>
      <t>53.Модель Альтмана - коэффициент Х</t>
    </r>
    <r>
      <rPr>
        <vertAlign val="subscript"/>
        <sz val="9"/>
        <rFont val="Arial Cyr"/>
        <family val="0"/>
      </rPr>
      <t>3</t>
    </r>
  </si>
  <si>
    <r>
      <t>54.Модель Альтмана - коэффициент Х</t>
    </r>
    <r>
      <rPr>
        <vertAlign val="subscript"/>
        <sz val="9"/>
        <rFont val="Arial Cyr"/>
        <family val="0"/>
      </rPr>
      <t>4</t>
    </r>
  </si>
  <si>
    <r>
      <t>55.Модель Альтмана - коэффициент Х</t>
    </r>
    <r>
      <rPr>
        <vertAlign val="subscript"/>
        <sz val="9"/>
        <rFont val="Arial Cyr"/>
        <family val="0"/>
      </rPr>
      <t>5</t>
    </r>
  </si>
  <si>
    <r>
      <t>56.Бальная оценка - коэффициент К</t>
    </r>
    <r>
      <rPr>
        <vertAlign val="subscript"/>
        <sz val="9"/>
        <rFont val="Arial Cyr"/>
        <family val="0"/>
      </rPr>
      <t>1</t>
    </r>
  </si>
  <si>
    <r>
      <t>57.Бальная оценка - коэффициент К</t>
    </r>
    <r>
      <rPr>
        <vertAlign val="subscript"/>
        <sz val="9"/>
        <rFont val="Arial Cyr"/>
        <family val="0"/>
      </rPr>
      <t>2</t>
    </r>
  </si>
  <si>
    <r>
      <t>58.Бальная оценка - коэффициент К</t>
    </r>
    <r>
      <rPr>
        <vertAlign val="subscript"/>
        <sz val="9"/>
        <rFont val="Arial Cyr"/>
        <family val="0"/>
      </rPr>
      <t>3</t>
    </r>
  </si>
  <si>
    <r>
      <t>59.Бальная оценка - коэффициент К</t>
    </r>
    <r>
      <rPr>
        <vertAlign val="subscript"/>
        <sz val="9"/>
        <rFont val="Arial Cyr"/>
        <family val="0"/>
      </rPr>
      <t>4</t>
    </r>
  </si>
  <si>
    <r>
      <t>60.Бальная оценка - коэффициент К</t>
    </r>
    <r>
      <rPr>
        <vertAlign val="subscript"/>
        <sz val="9"/>
        <rFont val="Arial Cyr"/>
        <family val="0"/>
      </rPr>
      <t>5</t>
    </r>
  </si>
  <si>
    <r>
      <t>61.Бальная оценка - коэффициент К</t>
    </r>
    <r>
      <rPr>
        <vertAlign val="subscript"/>
        <sz val="9"/>
        <rFont val="Arial Cyr"/>
        <family val="0"/>
      </rPr>
      <t>6</t>
    </r>
  </si>
  <si>
    <t>Числитель</t>
  </si>
  <si>
    <t>Знаменатель</t>
  </si>
  <si>
    <t>ф. № 1  стр.(300 - 465 - 475 - 252 - 244)</t>
  </si>
  <si>
    <t xml:space="preserve">ф. № 1  стр.120 </t>
  </si>
  <si>
    <t>ф. № 1  стр.(300 - 465 -475 - 252 - 244)</t>
  </si>
  <si>
    <t xml:space="preserve">ф. № 5  стр.[363(г.6) + стр.364(г.6)] </t>
  </si>
  <si>
    <t>ф. № 5  стр.371(г.4)</t>
  </si>
  <si>
    <t>ф. № 5  стр.371(г.5)</t>
  </si>
  <si>
    <t>ф. № 1  стр.(490-252-244+590-190-230-465-475) или (190 -252 - 244 - 230 - 690)</t>
  </si>
  <si>
    <t xml:space="preserve">ф. № 1  стр.260 </t>
  </si>
  <si>
    <t>ф. № 1  стр.260</t>
  </si>
  <si>
    <t>ф. № 1  стр.(290 - 252 - 244 - 210 - 220 - 230)</t>
  </si>
  <si>
    <t>ф. № 1  стр.690</t>
  </si>
  <si>
    <t>ф. № 1   стр.(290 - 252 - 244 - 230)</t>
  </si>
  <si>
    <t>ф. № 1   стр.(290 - 252 - 244 - 230 - 690)</t>
  </si>
  <si>
    <t>ф. № 1   стр.(210 + 220)</t>
  </si>
  <si>
    <t xml:space="preserve">   в том числе: произв.материалы</t>
  </si>
  <si>
    <t xml:space="preserve">                         вспомог.мат</t>
  </si>
  <si>
    <t>полугодия</t>
  </si>
  <si>
    <t xml:space="preserve">ф. № 1   стр.(490-465-475-252-244+590-190-230+610+621+622+627) </t>
  </si>
  <si>
    <t>ф. № 1   стр.(490 - 465 - 475 - 252 - 244)</t>
  </si>
  <si>
    <t xml:space="preserve">ф. № 1   стр.(300 - 465 - 475 - 252 - 244) </t>
  </si>
  <si>
    <t xml:space="preserve">ф. № 1   стр.(290 - 252 - 244 - 230 - 690) </t>
  </si>
  <si>
    <t xml:space="preserve">ф. № 1   стр.(590 + 690) </t>
  </si>
  <si>
    <t>ф. № 1   стр.590</t>
  </si>
  <si>
    <t xml:space="preserve">ф. № 1   стр.590 </t>
  </si>
  <si>
    <t>ф. № 1   стр.(590 + 690)</t>
  </si>
  <si>
    <t>ф. № 2   стр.010(гр.3)</t>
  </si>
  <si>
    <t>ф. № 2   стр.[140(гр.3) - 150(гр.3)]</t>
  </si>
  <si>
    <t>ф. № 5-АПК   стр.010(гр.3)</t>
  </si>
  <si>
    <t xml:space="preserve">ф. № 2   стр.010(гр.3) </t>
  </si>
  <si>
    <t>360 дней х ф. № 1 стр.[240 (гр.3) + 240(гр.4)] / 2 {ср.годов.}</t>
  </si>
  <si>
    <t xml:space="preserve">ф. № 2   стр.020(гр.3) </t>
  </si>
  <si>
    <t>ф. № 1  стр.[210+ 220]  {ср.годов.}</t>
  </si>
  <si>
    <t>360 дней х ф. № 1  стр.[210 + 220]  {ср.годов.}</t>
  </si>
  <si>
    <t>360 дней х ф. № 1  стр.[611+621+622+627]  {ср.годов.}</t>
  </si>
  <si>
    <t xml:space="preserve">(Оборачивакмость средств + Оборачиваемость запасов), дней </t>
  </si>
  <si>
    <t>(Продолж.операц.цикла - Оборачиваем.кредитор. задолж.), дней</t>
  </si>
  <si>
    <t>ф. № 1  стр.[240(гр.3)+240(гр.4)] / 2  {ср.годов.}</t>
  </si>
  <si>
    <t xml:space="preserve">ф. № 2  стр.010(гр.3) </t>
  </si>
  <si>
    <t>ф. № 1  стр.[490 - 465 - 475 - 252 - 244]   {ср.годов.}</t>
  </si>
  <si>
    <t>ф. № 1  стр.[300 - 465 - 475 - 252 - 244]  {ср.годов.}</t>
  </si>
  <si>
    <t>ф. № 2   стр.[140(гр.3) - 150(гр.3)] - дивиденды, выплаченные акционерам</t>
  </si>
  <si>
    <t>ф. № 2   стр.050(гр.3)</t>
  </si>
  <si>
    <t xml:space="preserve">ф. № 2   стр.050(гр.3) </t>
  </si>
  <si>
    <t>ф. № 1  стр.[120 (гр.3)+120(гр.4)] / 2 {ср.годов.}</t>
  </si>
  <si>
    <t>ф. № 1  стр.[240 (гр.3)+240(гр.4)] / 2 {ср.годов.}</t>
  </si>
  <si>
    <t>ф. № 2  стр.020(гр.3)</t>
  </si>
  <si>
    <t>ф. № 2  стр.010(гр.3)</t>
  </si>
  <si>
    <t>ф. № 2  стр.[020(гр.3) + 030(гр.3) + 040(гр.3]</t>
  </si>
  <si>
    <t>ф. № 2  стр.[140(гр.3) - 150(гр.3)]</t>
  </si>
  <si>
    <t xml:space="preserve"> число обыкновенных акций</t>
  </si>
  <si>
    <t>рыночная цена акции</t>
  </si>
  <si>
    <t xml:space="preserve"> доход (прибыль) на акцию</t>
  </si>
  <si>
    <t>дивиденд на одну акцию</t>
  </si>
  <si>
    <t xml:space="preserve"> рыночная цена акции</t>
  </si>
  <si>
    <t xml:space="preserve">дивиденд на одну акцию </t>
  </si>
  <si>
    <t>доход (прибыль) на акцию</t>
  </si>
  <si>
    <t xml:space="preserve">рыночная цена акции </t>
  </si>
  <si>
    <t>учетная цена акции</t>
  </si>
  <si>
    <t xml:space="preserve">ф. № 1  стр.(290 - 252 - 244 - 230)  </t>
  </si>
  <si>
    <t xml:space="preserve">ф. № 1  стр.(460 + 470) </t>
  </si>
  <si>
    <t xml:space="preserve">ф. № 1  стр.410 </t>
  </si>
  <si>
    <t xml:space="preserve">ф. № 1  стр.(250 + 260) </t>
  </si>
  <si>
    <t>ф. № 1  стр.(610 + 620 + 660)</t>
  </si>
  <si>
    <t>ф. № 1  стр.[300 - 465 - 475 - 252 - 244]   {ср.годов.}</t>
  </si>
  <si>
    <t>ф. № 1  стр.(240 + 250 + 260)</t>
  </si>
  <si>
    <t>ф. № 1  стр.(210 + 230 + 240 + 250 + 260 + 270)</t>
  </si>
  <si>
    <t xml:space="preserve">ф. № 1  стр.(490 - 190) </t>
  </si>
  <si>
    <t>ф. № 1  стр.290</t>
  </si>
  <si>
    <t xml:space="preserve">ф. № 1  стр.490 </t>
  </si>
  <si>
    <t>ф. № 1  стр.700</t>
  </si>
  <si>
    <t>ф. № 1  стр.(210 + 220)</t>
  </si>
  <si>
    <t>нач.</t>
  </si>
  <si>
    <t>кон.</t>
  </si>
  <si>
    <t>сред.</t>
  </si>
  <si>
    <t>ф. № 5  стр.394(г.4)</t>
  </si>
  <si>
    <t xml:space="preserve">ф. № 5  стр.396(г.4) </t>
  </si>
  <si>
    <t xml:space="preserve">                             непроизводственных основных средств</t>
  </si>
  <si>
    <t xml:space="preserve">   в том числе по привилегированным акциям</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</si>
</sst>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dd/mm/yy"/>
    <numFmt numFmtId="167" formatCode="#,##0.0"/>
    <numFmt numFmtId="168" formatCode="#,##0.000"/>
    <numFmt numFmtId="169" formatCode="0.0%"/>
    <numFmt numFmtId="170" formatCode="[$-FC19]d\ mmmm\ yyyy\ &quot;г.&quot;"/>
    <numFmt numFmtId="171" formatCode="dd/mm/yy;@"/>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95">
    <font>
      <sz val="9"/>
      <name val="Arial Cyr"/>
      <family val="0"/>
    </font>
    <font>
      <u val="single"/>
      <sz val="9"/>
      <color indexed="12"/>
      <name val="Arial Cyr"/>
      <family val="0"/>
    </font>
    <font>
      <u val="single"/>
      <sz val="9"/>
      <color indexed="36"/>
      <name val="Arial Cyr"/>
      <family val="0"/>
    </font>
    <font>
      <sz val="9"/>
      <color indexed="12"/>
      <name val="Arial Cyr"/>
      <family val="2"/>
    </font>
    <font>
      <sz val="9"/>
      <color indexed="10"/>
      <name val="Arial Cyr"/>
      <family val="0"/>
    </font>
    <font>
      <b/>
      <sz val="12"/>
      <name val="Arial Cyr"/>
      <family val="0"/>
    </font>
    <font>
      <sz val="9"/>
      <color indexed="9"/>
      <name val="Arial Cyr"/>
      <family val="0"/>
    </font>
    <font>
      <b/>
      <sz val="12"/>
      <color indexed="9"/>
      <name val="Arial Cyr"/>
      <family val="0"/>
    </font>
    <font>
      <sz val="9"/>
      <color indexed="8"/>
      <name val="Arial Cyr"/>
      <family val="2"/>
    </font>
    <font>
      <sz val="8"/>
      <name val="Arial Cyr"/>
      <family val="2"/>
    </font>
    <font>
      <sz val="8"/>
      <color indexed="9"/>
      <name val="Arial Cyr"/>
      <family val="2"/>
    </font>
    <font>
      <sz val="11"/>
      <color indexed="9"/>
      <name val="Arial Cyr"/>
      <family val="2"/>
    </font>
    <font>
      <b/>
      <sz val="14"/>
      <name val="Arial Cyr"/>
      <family val="2"/>
    </font>
    <font>
      <b/>
      <vertAlign val="subscript"/>
      <sz val="14"/>
      <name val="Arial Cyr"/>
      <family val="2"/>
    </font>
    <font>
      <u val="single"/>
      <sz val="10"/>
      <name val="Arial Cyr"/>
      <family val="2"/>
    </font>
    <font>
      <vertAlign val="subscript"/>
      <sz val="9"/>
      <name val="Arial Cyr"/>
      <family val="2"/>
    </font>
    <font>
      <b/>
      <sz val="11"/>
      <name val="Arial Cyr"/>
      <family val="2"/>
    </font>
    <font>
      <b/>
      <vertAlign val="subscript"/>
      <sz val="11"/>
      <name val="Arial Cyr"/>
      <family val="2"/>
    </font>
    <font>
      <u val="single"/>
      <sz val="9"/>
      <name val="Arial Cyr"/>
      <family val="2"/>
    </font>
    <font>
      <b/>
      <sz val="14"/>
      <color indexed="10"/>
      <name val="Arial Cyr"/>
      <family val="2"/>
    </font>
    <font>
      <b/>
      <sz val="18"/>
      <color indexed="10"/>
      <name val="Arial Cyr"/>
      <family val="2"/>
    </font>
    <font>
      <sz val="10"/>
      <name val="Arial Cyr"/>
      <family val="2"/>
    </font>
    <font>
      <b/>
      <sz val="10"/>
      <color indexed="12"/>
      <name val="Arial Cyr"/>
      <family val="2"/>
    </font>
    <font>
      <b/>
      <sz val="16"/>
      <name val="Times New Roman"/>
      <family val="1"/>
    </font>
    <font>
      <b/>
      <sz val="11"/>
      <color indexed="12"/>
      <name val="Arial Cyr"/>
      <family val="2"/>
    </font>
    <font>
      <b/>
      <u val="single"/>
      <sz val="16"/>
      <color indexed="12"/>
      <name val="Times New Roman"/>
      <family val="1"/>
    </font>
    <font>
      <sz val="9"/>
      <color indexed="43"/>
      <name val="Arial Cyr"/>
      <family val="0"/>
    </font>
    <font>
      <b/>
      <sz val="16"/>
      <color indexed="9"/>
      <name val="Courier"/>
      <family val="1"/>
    </font>
    <font>
      <b/>
      <sz val="14"/>
      <color indexed="9"/>
      <name val="Courier"/>
      <family val="1"/>
    </font>
    <font>
      <sz val="9"/>
      <color indexed="18"/>
      <name val="Arial Cyr"/>
      <family val="0"/>
    </font>
    <font>
      <b/>
      <sz val="10"/>
      <color indexed="9"/>
      <name val="Arial Cyr"/>
      <family val="0"/>
    </font>
    <font>
      <sz val="11"/>
      <name val="Arial Cyr"/>
      <family val="2"/>
    </font>
    <font>
      <sz val="10"/>
      <color indexed="9"/>
      <name val="Arial Cyr"/>
      <family val="0"/>
    </font>
    <font>
      <b/>
      <u val="double"/>
      <sz val="11"/>
      <color indexed="10"/>
      <name val="Arial Cyr"/>
      <family val="2"/>
    </font>
    <font>
      <b/>
      <sz val="9"/>
      <color indexed="12"/>
      <name val="Arial Cyr"/>
      <family val="0"/>
    </font>
    <font>
      <b/>
      <vertAlign val="subscript"/>
      <sz val="10"/>
      <color indexed="12"/>
      <name val="Arial Cyr"/>
      <family val="0"/>
    </font>
    <font>
      <sz val="9"/>
      <color indexed="58"/>
      <name val="Arial Cyr"/>
      <family val="0"/>
    </font>
    <font>
      <b/>
      <sz val="11"/>
      <color indexed="10"/>
      <name val="Arial Cyr"/>
      <family val="0"/>
    </font>
    <font>
      <b/>
      <vertAlign val="subscript"/>
      <sz val="11"/>
      <color indexed="10"/>
      <name val="Arial Cyr"/>
      <family val="0"/>
    </font>
    <font>
      <b/>
      <vertAlign val="subscript"/>
      <sz val="9"/>
      <color indexed="12"/>
      <name val="Arial Cyr"/>
      <family val="0"/>
    </font>
    <font>
      <b/>
      <i/>
      <sz val="12"/>
      <color indexed="9"/>
      <name val="Arial Cyr"/>
      <family val="0"/>
    </font>
    <font>
      <b/>
      <sz val="11"/>
      <color indexed="61"/>
      <name val="Arial Cyr"/>
      <family val="0"/>
    </font>
    <font>
      <sz val="9"/>
      <color indexed="61"/>
      <name val="Arial Cyr"/>
      <family val="2"/>
    </font>
    <font>
      <b/>
      <sz val="9"/>
      <color indexed="61"/>
      <name val="Arial Cyr"/>
      <family val="0"/>
    </font>
    <font>
      <b/>
      <sz val="8"/>
      <color indexed="46"/>
      <name val="Arial Cyr"/>
      <family val="0"/>
    </font>
    <font>
      <b/>
      <sz val="9"/>
      <color indexed="18"/>
      <name val="Arial Cyr"/>
      <family val="2"/>
    </font>
    <font>
      <sz val="8"/>
      <color indexed="18"/>
      <name val="Arial Cyr"/>
      <family val="2"/>
    </font>
    <font>
      <sz val="8"/>
      <color indexed="58"/>
      <name val="Arial Cyr"/>
      <family val="2"/>
    </font>
    <font>
      <b/>
      <sz val="10"/>
      <color indexed="61"/>
      <name val="Arial Cyr"/>
      <family val="0"/>
    </font>
    <font>
      <sz val="8"/>
      <color indexed="61"/>
      <name val="Arial Cyr"/>
      <family val="2"/>
    </font>
    <font>
      <b/>
      <sz val="8"/>
      <color indexed="61"/>
      <name val="Arial Cyr"/>
      <family val="0"/>
    </font>
    <font>
      <b/>
      <sz val="10"/>
      <color indexed="10"/>
      <name val="Arial Cyr"/>
      <family val="0"/>
    </font>
    <font>
      <vertAlign val="subscript"/>
      <sz val="8"/>
      <name val="Arial Cyr"/>
      <family val="0"/>
    </font>
    <font>
      <b/>
      <u val="single"/>
      <sz val="10"/>
      <name val="Arial Cyr"/>
      <family val="0"/>
    </font>
    <font>
      <b/>
      <u val="single"/>
      <sz val="11"/>
      <name val="Arial Cyr"/>
      <family val="0"/>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9"/>
      <color indexed="17"/>
      <name val="Calibri"/>
      <family val="2"/>
    </font>
    <font>
      <sz val="9"/>
      <color indexed="20"/>
      <name val="Calibri"/>
      <family val="2"/>
    </font>
    <font>
      <sz val="9"/>
      <color indexed="60"/>
      <name val="Calibri"/>
      <family val="2"/>
    </font>
    <font>
      <sz val="9"/>
      <color indexed="62"/>
      <name val="Calibri"/>
      <family val="2"/>
    </font>
    <font>
      <b/>
      <sz val="9"/>
      <color indexed="63"/>
      <name val="Calibri"/>
      <family val="2"/>
    </font>
    <font>
      <b/>
      <sz val="9"/>
      <color indexed="52"/>
      <name val="Calibri"/>
      <family val="2"/>
    </font>
    <font>
      <sz val="9"/>
      <color indexed="52"/>
      <name val="Calibri"/>
      <family val="2"/>
    </font>
    <font>
      <b/>
      <sz val="9"/>
      <color indexed="9"/>
      <name val="Calibri"/>
      <family val="2"/>
    </font>
    <font>
      <sz val="9"/>
      <color indexed="10"/>
      <name val="Calibri"/>
      <family val="2"/>
    </font>
    <font>
      <i/>
      <sz val="9"/>
      <color indexed="23"/>
      <name val="Calibri"/>
      <family val="2"/>
    </font>
    <font>
      <b/>
      <sz val="9"/>
      <color indexed="8"/>
      <name val="Calibri"/>
      <family val="2"/>
    </font>
    <font>
      <sz val="9"/>
      <color indexed="9"/>
      <name val="Calibri"/>
      <family val="2"/>
    </font>
    <font>
      <sz val="9"/>
      <color indexed="8"/>
      <name val="Calibri"/>
      <family val="2"/>
    </font>
    <font>
      <sz val="8"/>
      <color indexed="8"/>
      <name val="Arial Cyr"/>
      <family val="0"/>
    </font>
    <font>
      <b/>
      <u val="single"/>
      <sz val="12"/>
      <color indexed="8"/>
      <name val="Arial Cyr"/>
      <family val="0"/>
    </font>
    <font>
      <sz val="8.5"/>
      <color indexed="8"/>
      <name val="Arial Cyr"/>
      <family val="0"/>
    </font>
    <font>
      <sz val="9"/>
      <color theme="1"/>
      <name val="Calibri"/>
      <family val="2"/>
    </font>
    <font>
      <sz val="9"/>
      <color theme="0"/>
      <name val="Calibri"/>
      <family val="2"/>
    </font>
    <font>
      <sz val="9"/>
      <color rgb="FF3F3F76"/>
      <name val="Calibri"/>
      <family val="2"/>
    </font>
    <font>
      <b/>
      <sz val="9"/>
      <color rgb="FF3F3F3F"/>
      <name val="Calibri"/>
      <family val="2"/>
    </font>
    <font>
      <b/>
      <sz val="9"/>
      <color rgb="FFFA7D00"/>
      <name val="Calibri"/>
      <family val="2"/>
    </font>
    <font>
      <b/>
      <sz val="15"/>
      <color theme="3"/>
      <name val="Calibri"/>
      <family val="2"/>
    </font>
    <font>
      <b/>
      <sz val="13"/>
      <color theme="3"/>
      <name val="Calibri"/>
      <family val="2"/>
    </font>
    <font>
      <b/>
      <sz val="11"/>
      <color theme="3"/>
      <name val="Calibri"/>
      <family val="2"/>
    </font>
    <font>
      <b/>
      <sz val="9"/>
      <color theme="1"/>
      <name val="Calibri"/>
      <family val="2"/>
    </font>
    <font>
      <b/>
      <sz val="9"/>
      <color theme="0"/>
      <name val="Calibri"/>
      <family val="2"/>
    </font>
    <font>
      <b/>
      <sz val="18"/>
      <color theme="3"/>
      <name val="Cambria"/>
      <family val="2"/>
    </font>
    <font>
      <sz val="9"/>
      <color rgb="FF9C6500"/>
      <name val="Calibri"/>
      <family val="2"/>
    </font>
    <font>
      <sz val="9"/>
      <color rgb="FF9C0006"/>
      <name val="Calibri"/>
      <family val="2"/>
    </font>
    <font>
      <i/>
      <sz val="9"/>
      <color rgb="FF7F7F7F"/>
      <name val="Calibri"/>
      <family val="2"/>
    </font>
    <font>
      <sz val="9"/>
      <color rgb="FFFA7D00"/>
      <name val="Calibri"/>
      <family val="2"/>
    </font>
    <font>
      <sz val="9"/>
      <color rgb="FFFF0000"/>
      <name val="Calibri"/>
      <family val="2"/>
    </font>
    <font>
      <sz val="9"/>
      <color rgb="FF006100"/>
      <name val="Calibri"/>
      <family val="2"/>
    </font>
    <font>
      <b/>
      <sz val="8"/>
      <name val="Arial Cyr"/>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58"/>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12"/>
        <bgColor indexed="64"/>
      </patternFill>
    </fill>
    <fill>
      <patternFill patternType="solid">
        <fgColor indexed="47"/>
        <bgColor indexed="64"/>
      </patternFill>
    </fill>
    <fill>
      <patternFill patternType="darkGrid">
        <bgColor indexed="49"/>
      </patternFill>
    </fill>
    <fill>
      <patternFill patternType="gray0625">
        <bgColor indexed="49"/>
      </patternFill>
    </fill>
    <fill>
      <patternFill patternType="solid">
        <fgColor indexed="13"/>
        <bgColor indexed="64"/>
      </patternFill>
    </fill>
    <fill>
      <patternFill patternType="solid">
        <fgColor indexed="41"/>
        <bgColor indexed="64"/>
      </patternFill>
    </fill>
    <fill>
      <patternFill patternType="solid">
        <fgColor indexed="40"/>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double"/>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thin"/>
      <right>
        <color indexed="63"/>
      </right>
      <top style="thin"/>
      <bottom style="double"/>
    </border>
    <border>
      <left style="thin"/>
      <right style="thin"/>
      <top>
        <color indexed="63"/>
      </top>
      <bottom>
        <color indexed="63"/>
      </bottom>
    </border>
    <border>
      <left style="double"/>
      <right style="thin"/>
      <top style="thin"/>
      <bottom style="thin"/>
    </border>
    <border>
      <left style="thin"/>
      <right style="double"/>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double"/>
      <right style="thin"/>
      <top style="medium"/>
      <bottom style="thin"/>
    </border>
    <border>
      <left style="thin"/>
      <right style="double"/>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double"/>
      <top style="thin"/>
      <bottom style="medium"/>
    </border>
    <border>
      <left style="double"/>
      <right style="thin"/>
      <top>
        <color indexed="63"/>
      </top>
      <bottom style="thin"/>
    </border>
    <border>
      <left style="thin"/>
      <right style="double"/>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double"/>
      <top style="medium"/>
      <bottom>
        <color indexed="63"/>
      </bottom>
    </border>
    <border>
      <left style="thin"/>
      <right style="double"/>
      <top>
        <color indexed="63"/>
      </top>
      <bottom style="medium"/>
    </border>
    <border>
      <left>
        <color indexed="63"/>
      </left>
      <right>
        <color indexed="63"/>
      </right>
      <top style="medium"/>
      <bottom style="thin"/>
    </border>
    <border>
      <left>
        <color indexed="63"/>
      </left>
      <right>
        <color indexed="63"/>
      </right>
      <top style="thin"/>
      <bottom style="medium"/>
    </border>
    <border>
      <left style="double"/>
      <right style="thin"/>
      <top style="thin"/>
      <bottom>
        <color indexed="63"/>
      </bottom>
    </border>
    <border>
      <left style="thin"/>
      <right style="double"/>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double"/>
      <right style="thin"/>
      <top>
        <color indexed="63"/>
      </top>
      <bottom>
        <color indexed="63"/>
      </bottom>
    </border>
    <border>
      <left>
        <color indexed="63"/>
      </left>
      <right style="thin"/>
      <top style="thin"/>
      <bottom style="dashed"/>
    </border>
    <border>
      <left style="double"/>
      <right>
        <color indexed="63"/>
      </right>
      <top>
        <color indexed="63"/>
      </top>
      <bottom style="thin"/>
    </border>
    <border>
      <left>
        <color indexed="63"/>
      </left>
      <right style="hair"/>
      <top>
        <color indexed="63"/>
      </top>
      <bottom style="thin"/>
    </border>
    <border>
      <left>
        <color indexed="63"/>
      </left>
      <right style="double"/>
      <top>
        <color indexed="63"/>
      </top>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style="thin"/>
      <top style="dashed"/>
      <bottom style="double"/>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style="hair"/>
      <top style="hair"/>
      <bottom style="double"/>
    </border>
    <border>
      <left>
        <color indexed="63"/>
      </left>
      <right style="thin"/>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7" borderId="2" applyNumberFormat="0" applyAlignment="0" applyProtection="0"/>
    <xf numFmtId="0" fontId="81"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8" borderId="7" applyNumberFormat="0" applyAlignment="0" applyProtection="0"/>
    <xf numFmtId="0" fontId="87" fillId="0" borderId="0" applyNumberFormat="0" applyFill="0" applyBorder="0" applyAlignment="0" applyProtection="0"/>
    <xf numFmtId="0" fontId="88" fillId="29" borderId="0" applyNumberFormat="0" applyBorder="0" applyAlignment="0" applyProtection="0"/>
    <xf numFmtId="0" fontId="2" fillId="0" borderId="0" applyNumberFormat="0" applyFill="0" applyBorder="0" applyAlignment="0" applyProtection="0"/>
    <xf numFmtId="0" fontId="89" fillId="30" borderId="0" applyNumberFormat="0" applyBorder="0" applyAlignment="0" applyProtection="0"/>
    <xf numFmtId="0" fontId="9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3" fillId="32" borderId="0" applyNumberFormat="0" applyBorder="0" applyAlignment="0" applyProtection="0"/>
  </cellStyleXfs>
  <cellXfs count="527">
    <xf numFmtId="0" fontId="0" fillId="0" borderId="0" xfId="0" applyAlignment="1">
      <alignment/>
    </xf>
    <xf numFmtId="0" fontId="0" fillId="33" borderId="10" xfId="0" applyFill="1" applyBorder="1" applyAlignment="1">
      <alignment horizontal="center"/>
    </xf>
    <xf numFmtId="0" fontId="0" fillId="34" borderId="0" xfId="0" applyFill="1" applyAlignment="1">
      <alignment/>
    </xf>
    <xf numFmtId="0" fontId="0" fillId="0" borderId="10" xfId="0" applyBorder="1" applyAlignment="1">
      <alignment/>
    </xf>
    <xf numFmtId="3" fontId="0" fillId="0" borderId="10" xfId="0" applyNumberFormat="1" applyBorder="1" applyAlignment="1">
      <alignment/>
    </xf>
    <xf numFmtId="0" fontId="0" fillId="34" borderId="0" xfId="0" applyFill="1" applyBorder="1" applyAlignment="1">
      <alignment/>
    </xf>
    <xf numFmtId="0" fontId="0" fillId="0" borderId="0" xfId="0" applyBorder="1" applyAlignment="1">
      <alignment horizontal="centerContinuous"/>
    </xf>
    <xf numFmtId="0" fontId="0" fillId="0" borderId="11" xfId="0" applyBorder="1" applyAlignment="1">
      <alignment/>
    </xf>
    <xf numFmtId="0" fontId="0" fillId="0" borderId="12" xfId="0" applyBorder="1" applyAlignment="1">
      <alignment/>
    </xf>
    <xf numFmtId="0" fontId="0" fillId="33" borderId="13" xfId="0" applyFill="1" applyBorder="1" applyAlignment="1">
      <alignment horizontal="centerContinuous"/>
    </xf>
    <xf numFmtId="0" fontId="0" fillId="33" borderId="14" xfId="0" applyFill="1" applyBorder="1" applyAlignment="1">
      <alignment horizontal="centerContinuous"/>
    </xf>
    <xf numFmtId="0" fontId="0" fillId="33" borderId="15" xfId="0" applyFill="1" applyBorder="1" applyAlignment="1">
      <alignment horizontal="centerContinuous"/>
    </xf>
    <xf numFmtId="0" fontId="0" fillId="33" borderId="16" xfId="0" applyFill="1" applyBorder="1" applyAlignment="1">
      <alignment horizontal="centerContinuous"/>
    </xf>
    <xf numFmtId="0" fontId="0" fillId="33" borderId="17" xfId="0" applyFill="1" applyBorder="1" applyAlignment="1">
      <alignment horizontal="centerContinuous"/>
    </xf>
    <xf numFmtId="0" fontId="0" fillId="33" borderId="11" xfId="0" applyFill="1" applyBorder="1" applyAlignment="1">
      <alignment horizontal="centerContinuous"/>
    </xf>
    <xf numFmtId="0" fontId="0" fillId="33" borderId="12" xfId="0" applyFill="1" applyBorder="1" applyAlignment="1">
      <alignment horizontal="centerContinuous"/>
    </xf>
    <xf numFmtId="0" fontId="0" fillId="33" borderId="18" xfId="0" applyFont="1" applyFill="1" applyBorder="1" applyAlignment="1">
      <alignment horizontal="centerContinuous"/>
    </xf>
    <xf numFmtId="0" fontId="0" fillId="33" borderId="19" xfId="0" applyFont="1" applyFill="1" applyBorder="1" applyAlignment="1">
      <alignment horizontal="centerContinuous"/>
    </xf>
    <xf numFmtId="0" fontId="0" fillId="0" borderId="11" xfId="0" applyBorder="1" applyAlignment="1">
      <alignment horizontal="left" indent="1"/>
    </xf>
    <xf numFmtId="49" fontId="0" fillId="0" borderId="10" xfId="0" applyNumberFormat="1" applyBorder="1" applyAlignment="1">
      <alignment horizontal="center"/>
    </xf>
    <xf numFmtId="0" fontId="0" fillId="0" borderId="17" xfId="0" applyFont="1" applyBorder="1" applyAlignment="1">
      <alignment horizontal="left" indent="1"/>
    </xf>
    <xf numFmtId="0" fontId="9" fillId="0" borderId="17" xfId="0" applyFont="1" applyBorder="1" applyAlignment="1">
      <alignment horizontal="left" indent="1"/>
    </xf>
    <xf numFmtId="0" fontId="0" fillId="33" borderId="13" xfId="0" applyFill="1" applyBorder="1" applyAlignment="1">
      <alignment/>
    </xf>
    <xf numFmtId="0" fontId="0" fillId="33" borderId="14" xfId="0" applyFill="1" applyBorder="1" applyAlignment="1">
      <alignment/>
    </xf>
    <xf numFmtId="0" fontId="9" fillId="0" borderId="17" xfId="0" applyFont="1" applyFill="1" applyBorder="1" applyAlignment="1">
      <alignment horizontal="left" indent="1"/>
    </xf>
    <xf numFmtId="0" fontId="9" fillId="33" borderId="17" xfId="0" applyFont="1" applyFill="1" applyBorder="1" applyAlignment="1">
      <alignment horizontal="centerContinuous"/>
    </xf>
    <xf numFmtId="0" fontId="6" fillId="34" borderId="0" xfId="0" applyFont="1" applyFill="1" applyBorder="1" applyAlignment="1">
      <alignment/>
    </xf>
    <xf numFmtId="0" fontId="0" fillId="35" borderId="0" xfId="0" applyFill="1" applyBorder="1" applyAlignment="1">
      <alignment horizontal="centerContinuous"/>
    </xf>
    <xf numFmtId="0" fontId="9" fillId="0" borderId="11" xfId="0" applyFont="1" applyBorder="1" applyAlignment="1">
      <alignment horizontal="left" indent="1"/>
    </xf>
    <xf numFmtId="0" fontId="9" fillId="33" borderId="11" xfId="0" applyFont="1" applyFill="1" applyBorder="1" applyAlignment="1">
      <alignment horizontal="centerContinuous"/>
    </xf>
    <xf numFmtId="0" fontId="9" fillId="0" borderId="11" xfId="0" applyFont="1" applyBorder="1" applyAlignment="1">
      <alignment/>
    </xf>
    <xf numFmtId="0" fontId="9" fillId="0" borderId="0" xfId="0" applyFont="1" applyAlignment="1">
      <alignment/>
    </xf>
    <xf numFmtId="0" fontId="0" fillId="0" borderId="12" xfId="0" applyBorder="1" applyAlignment="1">
      <alignment horizontal="left" indent="1"/>
    </xf>
    <xf numFmtId="49" fontId="9" fillId="0" borderId="10" xfId="0" applyNumberFormat="1" applyFont="1" applyBorder="1" applyAlignment="1">
      <alignment horizontal="center"/>
    </xf>
    <xf numFmtId="49" fontId="9" fillId="33" borderId="10" xfId="0" applyNumberFormat="1" applyFont="1" applyFill="1" applyBorder="1" applyAlignment="1">
      <alignment horizontal="center"/>
    </xf>
    <xf numFmtId="0" fontId="9" fillId="0" borderId="10" xfId="0" applyFont="1" applyBorder="1" applyAlignment="1">
      <alignment/>
    </xf>
    <xf numFmtId="0" fontId="9" fillId="33" borderId="10" xfId="0" applyFont="1" applyFill="1" applyBorder="1" applyAlignment="1">
      <alignment/>
    </xf>
    <xf numFmtId="0" fontId="9" fillId="33" borderId="17" xfId="0" applyFont="1" applyFill="1" applyBorder="1" applyAlignment="1">
      <alignment horizontal="left" indent="1"/>
    </xf>
    <xf numFmtId="0" fontId="9" fillId="33" borderId="11"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9" fillId="0" borderId="20" xfId="0" applyFont="1" applyBorder="1" applyAlignment="1">
      <alignment horizontal="centerContinuous"/>
    </xf>
    <xf numFmtId="0" fontId="9" fillId="0" borderId="0" xfId="0" applyFont="1" applyBorder="1" applyAlignment="1">
      <alignment horizontal="centerContinuous"/>
    </xf>
    <xf numFmtId="0" fontId="9" fillId="0" borderId="21" xfId="0" applyFont="1" applyBorder="1" applyAlignment="1">
      <alignment horizontal="centerContinuous"/>
    </xf>
    <xf numFmtId="0" fontId="9" fillId="33" borderId="12" xfId="0" applyFont="1" applyFill="1" applyBorder="1" applyAlignment="1">
      <alignment horizontal="centerContinuous"/>
    </xf>
    <xf numFmtId="0" fontId="9" fillId="34" borderId="0" xfId="0" applyFont="1" applyFill="1" applyAlignment="1">
      <alignment/>
    </xf>
    <xf numFmtId="0" fontId="9" fillId="33" borderId="18" xfId="0" applyFont="1" applyFill="1" applyBorder="1" applyAlignment="1">
      <alignment horizontal="centerContinuous"/>
    </xf>
    <xf numFmtId="0" fontId="9" fillId="33" borderId="13" xfId="0" applyFont="1" applyFill="1" applyBorder="1" applyAlignment="1">
      <alignment horizontal="centerContinuous"/>
    </xf>
    <xf numFmtId="0" fontId="9" fillId="33" borderId="22" xfId="0" applyFont="1" applyFill="1" applyBorder="1" applyAlignment="1">
      <alignment/>
    </xf>
    <xf numFmtId="0" fontId="9" fillId="33" borderId="14" xfId="0" applyFont="1" applyFill="1" applyBorder="1" applyAlignment="1">
      <alignment horizontal="centerContinuous"/>
    </xf>
    <xf numFmtId="0" fontId="9" fillId="33" borderId="19" xfId="0" applyFont="1" applyFill="1" applyBorder="1" applyAlignment="1">
      <alignment horizontal="centerContinuous"/>
    </xf>
    <xf numFmtId="0" fontId="9" fillId="33" borderId="15" xfId="0" applyFont="1" applyFill="1" applyBorder="1" applyAlignment="1">
      <alignment horizontal="centerContinuous"/>
    </xf>
    <xf numFmtId="0" fontId="9" fillId="33" borderId="23" xfId="0" applyFont="1" applyFill="1" applyBorder="1" applyAlignment="1">
      <alignment/>
    </xf>
    <xf numFmtId="0" fontId="9" fillId="33" borderId="16" xfId="0" applyFont="1" applyFill="1" applyBorder="1" applyAlignment="1">
      <alignment horizontal="centerContinuous"/>
    </xf>
    <xf numFmtId="0" fontId="9" fillId="33" borderId="10" xfId="0" applyFont="1" applyFill="1" applyBorder="1" applyAlignment="1">
      <alignment horizontal="center"/>
    </xf>
    <xf numFmtId="0" fontId="9" fillId="36" borderId="17" xfId="0" applyFont="1" applyFill="1" applyBorder="1" applyAlignment="1">
      <alignment horizontal="left" indent="1"/>
    </xf>
    <xf numFmtId="0" fontId="9" fillId="36" borderId="11" xfId="0" applyFont="1" applyFill="1" applyBorder="1" applyAlignment="1">
      <alignment/>
    </xf>
    <xf numFmtId="0" fontId="0" fillId="36" borderId="11" xfId="0" applyFill="1" applyBorder="1" applyAlignment="1">
      <alignment/>
    </xf>
    <xf numFmtId="0" fontId="0" fillId="36" borderId="12" xfId="0" applyFill="1" applyBorder="1" applyAlignment="1">
      <alignment/>
    </xf>
    <xf numFmtId="49" fontId="9" fillId="36" borderId="10" xfId="0" applyNumberFormat="1" applyFont="1" applyFill="1" applyBorder="1" applyAlignment="1">
      <alignment horizontal="center"/>
    </xf>
    <xf numFmtId="0" fontId="9" fillId="36" borderId="10" xfId="0" applyFont="1" applyFill="1" applyBorder="1" applyAlignment="1">
      <alignment/>
    </xf>
    <xf numFmtId="0" fontId="9" fillId="37" borderId="20" xfId="0" applyFont="1" applyFill="1" applyBorder="1" applyAlignment="1">
      <alignment horizontal="centerContinuous"/>
    </xf>
    <xf numFmtId="0" fontId="9" fillId="37" borderId="0" xfId="0" applyFont="1" applyFill="1" applyBorder="1" applyAlignment="1">
      <alignment horizontal="centerContinuous"/>
    </xf>
    <xf numFmtId="0" fontId="0" fillId="37" borderId="0" xfId="0" applyFill="1" applyBorder="1" applyAlignment="1">
      <alignment horizontal="centerContinuous"/>
    </xf>
    <xf numFmtId="0" fontId="9" fillId="37" borderId="21" xfId="0" applyFont="1" applyFill="1" applyBorder="1" applyAlignment="1">
      <alignment horizontal="centerContinuous"/>
    </xf>
    <xf numFmtId="49" fontId="9" fillId="0" borderId="0" xfId="0" applyNumberFormat="1" applyFont="1" applyBorder="1" applyAlignment="1">
      <alignment horizontal="center"/>
    </xf>
    <xf numFmtId="0" fontId="9" fillId="0" borderId="11" xfId="0" applyFont="1" applyBorder="1" applyAlignment="1">
      <alignment horizontal="centerContinuous"/>
    </xf>
    <xf numFmtId="0" fontId="0" fillId="0" borderId="12" xfId="0" applyBorder="1" applyAlignment="1">
      <alignment horizontal="centerContinuous"/>
    </xf>
    <xf numFmtId="0" fontId="9" fillId="0" borderId="10" xfId="0" applyFont="1" applyBorder="1" applyAlignment="1">
      <alignment horizontal="center"/>
    </xf>
    <xf numFmtId="0" fontId="9" fillId="0" borderId="10" xfId="0" applyFont="1" applyBorder="1" applyAlignment="1">
      <alignment horizontal="center"/>
    </xf>
    <xf numFmtId="0" fontId="9" fillId="0" borderId="17" xfId="0" applyFont="1" applyBorder="1" applyAlignment="1">
      <alignment/>
    </xf>
    <xf numFmtId="0" fontId="9" fillId="0" borderId="17" xfId="0" applyFont="1" applyBorder="1" applyAlignment="1">
      <alignment horizontal="center"/>
    </xf>
    <xf numFmtId="0" fontId="9" fillId="0" borderId="17" xfId="0" applyFont="1" applyFill="1" applyBorder="1" applyAlignment="1">
      <alignment horizontal="center"/>
    </xf>
    <xf numFmtId="0" fontId="9" fillId="33" borderId="18" xfId="0" applyFont="1" applyFill="1" applyBorder="1" applyAlignment="1">
      <alignment horizontal="left"/>
    </xf>
    <xf numFmtId="0" fontId="9" fillId="37" borderId="17" xfId="0" applyFont="1" applyFill="1" applyBorder="1" applyAlignment="1">
      <alignment horizontal="left" indent="1"/>
    </xf>
    <xf numFmtId="0" fontId="9" fillId="37" borderId="11" xfId="0" applyFont="1" applyFill="1" applyBorder="1" applyAlignment="1">
      <alignment/>
    </xf>
    <xf numFmtId="0" fontId="0" fillId="37" borderId="11" xfId="0" applyFill="1" applyBorder="1" applyAlignment="1">
      <alignment/>
    </xf>
    <xf numFmtId="0" fontId="9" fillId="37" borderId="11" xfId="0" applyFont="1" applyFill="1" applyBorder="1" applyAlignment="1">
      <alignment horizontal="center"/>
    </xf>
    <xf numFmtId="3" fontId="9" fillId="37" borderId="11" xfId="0" applyNumberFormat="1" applyFont="1" applyFill="1" applyBorder="1" applyAlignment="1">
      <alignment horizontal="right"/>
    </xf>
    <xf numFmtId="3" fontId="9" fillId="37" borderId="12" xfId="0" applyNumberFormat="1" applyFont="1" applyFill="1" applyBorder="1" applyAlignment="1">
      <alignment horizontal="right"/>
    </xf>
    <xf numFmtId="0" fontId="0" fillId="34" borderId="0" xfId="0" applyFill="1" applyAlignment="1">
      <alignment/>
    </xf>
    <xf numFmtId="0" fontId="9" fillId="38" borderId="0" xfId="0" applyFont="1" applyFill="1" applyAlignment="1">
      <alignment/>
    </xf>
    <xf numFmtId="0" fontId="31" fillId="38" borderId="0" xfId="0" applyFont="1" applyFill="1" applyAlignment="1">
      <alignment horizontal="centerContinuous"/>
    </xf>
    <xf numFmtId="0" fontId="9" fillId="38" borderId="0" xfId="0" applyFont="1" applyFill="1" applyAlignment="1">
      <alignment horizontal="centerContinuous"/>
    </xf>
    <xf numFmtId="0" fontId="0" fillId="38" borderId="0" xfId="0" applyFill="1" applyAlignment="1">
      <alignment horizontal="centerContinuous"/>
    </xf>
    <xf numFmtId="0" fontId="31" fillId="33" borderId="18" xfId="0" applyFont="1" applyFill="1" applyBorder="1" applyAlignment="1">
      <alignment horizontal="centerContinuous"/>
    </xf>
    <xf numFmtId="0" fontId="31" fillId="33" borderId="13" xfId="0" applyFont="1" applyFill="1" applyBorder="1" applyAlignment="1">
      <alignment horizontal="centerContinuous"/>
    </xf>
    <xf numFmtId="0" fontId="31" fillId="33" borderId="14" xfId="0" applyFont="1" applyFill="1" applyBorder="1" applyAlignment="1">
      <alignment horizontal="centerContinuous"/>
    </xf>
    <xf numFmtId="0" fontId="9" fillId="33" borderId="22" xfId="0" applyFont="1" applyFill="1" applyBorder="1" applyAlignment="1">
      <alignment horizontal="center"/>
    </xf>
    <xf numFmtId="0" fontId="9" fillId="33" borderId="23" xfId="0" applyFont="1" applyFill="1" applyBorder="1" applyAlignment="1">
      <alignment horizontal="center"/>
    </xf>
    <xf numFmtId="0" fontId="9" fillId="0" borderId="12" xfId="0" applyFont="1" applyBorder="1" applyAlignment="1">
      <alignment/>
    </xf>
    <xf numFmtId="0" fontId="9" fillId="33" borderId="13" xfId="0" applyFont="1" applyFill="1" applyBorder="1" applyAlignment="1">
      <alignment/>
    </xf>
    <xf numFmtId="0" fontId="0" fillId="35" borderId="24" xfId="0" applyFill="1" applyBorder="1" applyAlignment="1">
      <alignment/>
    </xf>
    <xf numFmtId="0" fontId="9" fillId="35" borderId="11" xfId="0" applyFont="1" applyFill="1" applyBorder="1" applyAlignment="1">
      <alignment horizontal="left" indent="1"/>
    </xf>
    <xf numFmtId="0" fontId="9" fillId="35" borderId="11" xfId="0" applyFont="1" applyFill="1" applyBorder="1" applyAlignment="1">
      <alignment/>
    </xf>
    <xf numFmtId="0" fontId="0" fillId="35" borderId="11" xfId="0" applyFill="1" applyBorder="1" applyAlignment="1">
      <alignment/>
    </xf>
    <xf numFmtId="0" fontId="9" fillId="35" borderId="11" xfId="0" applyFont="1" applyFill="1" applyBorder="1" applyAlignment="1">
      <alignment/>
    </xf>
    <xf numFmtId="0" fontId="4" fillId="35" borderId="25" xfId="0" applyFont="1" applyFill="1" applyBorder="1" applyAlignment="1">
      <alignment/>
    </xf>
    <xf numFmtId="0" fontId="6" fillId="35" borderId="26" xfId="0" applyFont="1" applyFill="1" applyBorder="1" applyAlignment="1">
      <alignment/>
    </xf>
    <xf numFmtId="49" fontId="0" fillId="35" borderId="26" xfId="0" applyNumberFormat="1" applyFill="1" applyBorder="1" applyAlignment="1">
      <alignment horizontal="right"/>
    </xf>
    <xf numFmtId="0" fontId="0" fillId="35" borderId="26" xfId="0" applyFill="1" applyBorder="1" applyAlignment="1">
      <alignment/>
    </xf>
    <xf numFmtId="0" fontId="0" fillId="35" borderId="27" xfId="0" applyFill="1" applyBorder="1" applyAlignment="1">
      <alignment/>
    </xf>
    <xf numFmtId="0" fontId="33" fillId="35" borderId="28" xfId="0" applyFont="1" applyFill="1" applyBorder="1" applyAlignment="1">
      <alignment horizontal="centerContinuous"/>
    </xf>
    <xf numFmtId="0" fontId="7" fillId="35" borderId="0" xfId="0" applyFont="1" applyFill="1" applyBorder="1" applyAlignment="1">
      <alignment horizontal="centerContinuous"/>
    </xf>
    <xf numFmtId="49" fontId="5" fillId="35" borderId="0" xfId="0" applyNumberFormat="1" applyFont="1" applyFill="1" applyBorder="1" applyAlignment="1">
      <alignment horizontal="centerContinuous"/>
    </xf>
    <xf numFmtId="0" fontId="5" fillId="35" borderId="0" xfId="0" applyFont="1" applyFill="1" applyBorder="1" applyAlignment="1">
      <alignment horizontal="centerContinuous"/>
    </xf>
    <xf numFmtId="0" fontId="0" fillId="35" borderId="24" xfId="0" applyFill="1" applyBorder="1" applyAlignment="1">
      <alignment horizontal="centerContinuous"/>
    </xf>
    <xf numFmtId="0" fontId="10" fillId="35" borderId="0" xfId="0" applyFont="1" applyFill="1" applyBorder="1" applyAlignment="1">
      <alignment/>
    </xf>
    <xf numFmtId="49" fontId="0" fillId="35" borderId="0" xfId="0" applyNumberFormat="1" applyFill="1" applyBorder="1" applyAlignment="1">
      <alignment horizontal="right"/>
    </xf>
    <xf numFmtId="0" fontId="0" fillId="35" borderId="0" xfId="0" applyFill="1" applyBorder="1" applyAlignment="1">
      <alignment/>
    </xf>
    <xf numFmtId="0" fontId="4" fillId="35" borderId="29" xfId="0" applyFont="1" applyFill="1" applyBorder="1" applyAlignment="1">
      <alignment horizontal="left" indent="1"/>
    </xf>
    <xf numFmtId="0" fontId="6" fillId="35" borderId="30" xfId="0" applyFont="1" applyFill="1" applyBorder="1" applyAlignment="1">
      <alignment/>
    </xf>
    <xf numFmtId="49" fontId="0" fillId="35" borderId="30" xfId="0" applyNumberFormat="1" applyFill="1" applyBorder="1" applyAlignment="1">
      <alignment horizontal="right"/>
    </xf>
    <xf numFmtId="0" fontId="0" fillId="35" borderId="30" xfId="0" applyFill="1" applyBorder="1" applyAlignment="1">
      <alignment/>
    </xf>
    <xf numFmtId="0" fontId="0" fillId="35" borderId="31" xfId="0" applyFill="1" applyBorder="1" applyAlignment="1">
      <alignment/>
    </xf>
    <xf numFmtId="0" fontId="29" fillId="35" borderId="0" xfId="0" applyFont="1" applyFill="1" applyBorder="1" applyAlignment="1">
      <alignment/>
    </xf>
    <xf numFmtId="0" fontId="9" fillId="35" borderId="0" xfId="0" applyFont="1" applyFill="1" applyBorder="1" applyAlignment="1">
      <alignment/>
    </xf>
    <xf numFmtId="0" fontId="9" fillId="35" borderId="13" xfId="0" applyFont="1" applyFill="1" applyBorder="1" applyAlignment="1">
      <alignment/>
    </xf>
    <xf numFmtId="0" fontId="0" fillId="35" borderId="14" xfId="0" applyFill="1" applyBorder="1" applyAlignment="1">
      <alignment/>
    </xf>
    <xf numFmtId="0" fontId="6" fillId="35" borderId="0" xfId="0" applyFont="1" applyFill="1" applyBorder="1" applyAlignment="1">
      <alignment/>
    </xf>
    <xf numFmtId="0" fontId="4" fillId="34" borderId="0" xfId="0" applyFont="1" applyFill="1" applyBorder="1" applyAlignment="1">
      <alignment horizontal="left" indent="1"/>
    </xf>
    <xf numFmtId="49" fontId="0" fillId="34" borderId="0" xfId="0" applyNumberFormat="1" applyFill="1" applyBorder="1" applyAlignment="1">
      <alignment horizontal="right"/>
    </xf>
    <xf numFmtId="0" fontId="29" fillId="35" borderId="30" xfId="0" applyFont="1" applyFill="1" applyBorder="1" applyAlignment="1">
      <alignment/>
    </xf>
    <xf numFmtId="0" fontId="9" fillId="35" borderId="30" xfId="0" applyFont="1" applyFill="1" applyBorder="1" applyAlignment="1">
      <alignment/>
    </xf>
    <xf numFmtId="0" fontId="0" fillId="35" borderId="32" xfId="0" applyFill="1" applyBorder="1" applyAlignment="1">
      <alignment/>
    </xf>
    <xf numFmtId="0" fontId="0" fillId="35" borderId="30" xfId="0" applyFill="1" applyBorder="1" applyAlignment="1">
      <alignment/>
    </xf>
    <xf numFmtId="0" fontId="0" fillId="35" borderId="31" xfId="0" applyFill="1" applyBorder="1" applyAlignment="1">
      <alignment/>
    </xf>
    <xf numFmtId="0" fontId="44" fillId="34" borderId="0" xfId="0" applyFont="1" applyFill="1" applyAlignment="1">
      <alignment/>
    </xf>
    <xf numFmtId="0" fontId="29" fillId="35" borderId="0" xfId="0" applyFont="1" applyFill="1" applyBorder="1" applyAlignment="1">
      <alignment horizontal="centerContinuous"/>
    </xf>
    <xf numFmtId="0" fontId="0" fillId="35" borderId="0" xfId="0" applyFill="1" applyBorder="1" applyAlignment="1">
      <alignment/>
    </xf>
    <xf numFmtId="0" fontId="0" fillId="35" borderId="24" xfId="0" applyFill="1" applyBorder="1" applyAlignment="1">
      <alignment/>
    </xf>
    <xf numFmtId="0" fontId="43" fillId="35" borderId="33" xfId="0" applyFont="1" applyFill="1" applyBorder="1" applyAlignment="1">
      <alignment horizontal="centerContinuous"/>
    </xf>
    <xf numFmtId="0" fontId="0" fillId="35" borderId="34" xfId="0" applyFill="1" applyBorder="1" applyAlignment="1">
      <alignment horizontal="centerContinuous"/>
    </xf>
    <xf numFmtId="0" fontId="0" fillId="35" borderId="35" xfId="0" applyFill="1" applyBorder="1" applyAlignment="1">
      <alignment horizontal="centerContinuous"/>
    </xf>
    <xf numFmtId="0" fontId="9" fillId="35" borderId="0" xfId="0" applyFont="1" applyFill="1" applyAlignment="1">
      <alignment/>
    </xf>
    <xf numFmtId="0" fontId="45" fillId="35" borderId="30" xfId="0" applyFont="1" applyFill="1" applyBorder="1" applyAlignment="1" applyProtection="1">
      <alignment horizontal="left" indent="2"/>
      <protection locked="0"/>
    </xf>
    <xf numFmtId="0" fontId="45" fillId="35" borderId="36" xfId="0" applyFont="1" applyFill="1" applyBorder="1" applyAlignment="1">
      <alignment/>
    </xf>
    <xf numFmtId="0" fontId="29" fillId="35" borderId="28" xfId="0" applyFont="1" applyFill="1" applyBorder="1" applyAlignment="1">
      <alignment horizontal="left" indent="4"/>
    </xf>
    <xf numFmtId="0" fontId="29" fillId="35" borderId="29" xfId="0" applyFont="1" applyFill="1" applyBorder="1" applyAlignment="1">
      <alignment horizontal="left" indent="4"/>
    </xf>
    <xf numFmtId="0" fontId="36" fillId="34" borderId="0" xfId="0" applyFont="1" applyFill="1" applyAlignment="1">
      <alignment/>
    </xf>
    <xf numFmtId="0" fontId="36" fillId="34" borderId="0" xfId="0" applyFont="1" applyFill="1" applyBorder="1" applyAlignment="1">
      <alignment/>
    </xf>
    <xf numFmtId="166" fontId="36" fillId="34" borderId="0" xfId="0" applyNumberFormat="1" applyFont="1" applyFill="1" applyBorder="1" applyAlignment="1">
      <alignment/>
    </xf>
    <xf numFmtId="0" fontId="47" fillId="34" borderId="0" xfId="0" applyFont="1" applyFill="1" applyBorder="1" applyAlignment="1">
      <alignment/>
    </xf>
    <xf numFmtId="0" fontId="29" fillId="34" borderId="0" xfId="0" applyFont="1" applyFill="1" applyBorder="1" applyAlignment="1">
      <alignment horizontal="left" indent="4"/>
    </xf>
    <xf numFmtId="0" fontId="29" fillId="34" borderId="0" xfId="0" applyFont="1" applyFill="1" applyBorder="1" applyAlignment="1">
      <alignment/>
    </xf>
    <xf numFmtId="0" fontId="9" fillId="34" borderId="0" xfId="0" applyFont="1" applyFill="1" applyBorder="1" applyAlignment="1">
      <alignment/>
    </xf>
    <xf numFmtId="0" fontId="45" fillId="34" borderId="0" xfId="0" applyFont="1" applyFill="1" applyBorder="1" applyAlignment="1" applyProtection="1">
      <alignment horizontal="left" indent="2"/>
      <protection locked="0"/>
    </xf>
    <xf numFmtId="0" fontId="46" fillId="34" borderId="0" xfId="0" applyFont="1" applyFill="1" applyAlignment="1">
      <alignment/>
    </xf>
    <xf numFmtId="49" fontId="0" fillId="34" borderId="0" xfId="0" applyNumberFormat="1" applyFill="1" applyBorder="1" applyAlignment="1" applyProtection="1">
      <alignment horizontal="center"/>
      <protection locked="0"/>
    </xf>
    <xf numFmtId="0" fontId="0" fillId="34" borderId="0" xfId="0" applyFill="1" applyBorder="1" applyAlignment="1">
      <alignment/>
    </xf>
    <xf numFmtId="0" fontId="45" fillId="34" borderId="0" xfId="0" applyFont="1" applyFill="1" applyBorder="1" applyAlignment="1" applyProtection="1">
      <alignment horizontal="center"/>
      <protection locked="0"/>
    </xf>
    <xf numFmtId="0" fontId="29" fillId="34" borderId="0" xfId="0" applyFont="1" applyFill="1" applyBorder="1" applyAlignment="1">
      <alignment/>
    </xf>
    <xf numFmtId="14" fontId="9" fillId="34" borderId="0" xfId="0" applyNumberFormat="1" applyFont="1" applyFill="1" applyBorder="1" applyAlignment="1" applyProtection="1">
      <alignment horizontal="center"/>
      <protection locked="0"/>
    </xf>
    <xf numFmtId="14" fontId="0" fillId="34" borderId="0" xfId="0" applyNumberFormat="1" applyFill="1" applyBorder="1" applyAlignment="1">
      <alignment/>
    </xf>
    <xf numFmtId="0" fontId="45" fillId="34" borderId="0" xfId="0" applyFont="1" applyFill="1" applyBorder="1" applyAlignment="1">
      <alignment/>
    </xf>
    <xf numFmtId="0" fontId="9" fillId="34" borderId="0" xfId="0" applyFont="1" applyFill="1" applyBorder="1" applyAlignment="1">
      <alignment horizontal="center"/>
    </xf>
    <xf numFmtId="0" fontId="46" fillId="35" borderId="30" xfId="0" applyFont="1" applyFill="1" applyBorder="1" applyAlignment="1">
      <alignment/>
    </xf>
    <xf numFmtId="0" fontId="10" fillId="35" borderId="0" xfId="0" applyFont="1" applyFill="1" applyAlignment="1">
      <alignment horizontal="centerContinuous"/>
    </xf>
    <xf numFmtId="0" fontId="0" fillId="35" borderId="0" xfId="0" applyFill="1" applyAlignment="1">
      <alignment/>
    </xf>
    <xf numFmtId="0" fontId="30" fillId="35" borderId="0" xfId="0" applyFont="1" applyFill="1" applyAlignment="1">
      <alignment horizontal="centerContinuous"/>
    </xf>
    <xf numFmtId="0" fontId="10" fillId="35" borderId="0" xfId="0" applyFont="1" applyFill="1" applyAlignment="1">
      <alignment horizontal="centerContinuous"/>
    </xf>
    <xf numFmtId="0" fontId="6" fillId="35" borderId="0" xfId="0" applyFont="1" applyFill="1" applyAlignment="1">
      <alignment horizontal="centerContinuous"/>
    </xf>
    <xf numFmtId="0" fontId="48" fillId="35" borderId="0" xfId="0" applyFont="1" applyFill="1" applyAlignment="1">
      <alignment horizontal="centerContinuous"/>
    </xf>
    <xf numFmtId="166" fontId="48" fillId="35" borderId="0" xfId="0" applyNumberFormat="1" applyFont="1" applyFill="1" applyAlignment="1">
      <alignment horizontal="centerContinuous"/>
    </xf>
    <xf numFmtId="0" fontId="49" fillId="35" borderId="0" xfId="0" applyFont="1" applyFill="1" applyAlignment="1">
      <alignment horizontal="centerContinuous"/>
    </xf>
    <xf numFmtId="0" fontId="50" fillId="35" borderId="0" xfId="0" applyFont="1" applyFill="1" applyAlignment="1">
      <alignment horizontal="centerContinuous"/>
    </xf>
    <xf numFmtId="0" fontId="43" fillId="35" borderId="0" xfId="0" applyFont="1" applyFill="1" applyAlignment="1">
      <alignment horizontal="centerContinuous"/>
    </xf>
    <xf numFmtId="0" fontId="50" fillId="35" borderId="0" xfId="0" applyFont="1" applyFill="1" applyBorder="1" applyAlignment="1">
      <alignment horizontal="centerContinuous"/>
    </xf>
    <xf numFmtId="0" fontId="49" fillId="35" borderId="0" xfId="0" applyFont="1" applyFill="1" applyAlignment="1">
      <alignment/>
    </xf>
    <xf numFmtId="0" fontId="42" fillId="35" borderId="0" xfId="0" applyFont="1" applyFill="1" applyAlignment="1">
      <alignment/>
    </xf>
    <xf numFmtId="0" fontId="48" fillId="35" borderId="0" xfId="0" applyFont="1" applyFill="1" applyAlignment="1">
      <alignment horizontal="centerContinuous"/>
    </xf>
    <xf numFmtId="0" fontId="42" fillId="35" borderId="0" xfId="0" applyFont="1" applyFill="1" applyAlignment="1">
      <alignment horizontal="centerContinuous"/>
    </xf>
    <xf numFmtId="0" fontId="9" fillId="33" borderId="18" xfId="0" applyFont="1" applyFill="1" applyBorder="1" applyAlignment="1">
      <alignment horizontal="left" indent="1"/>
    </xf>
    <xf numFmtId="0" fontId="43" fillId="35" borderId="13" xfId="0" applyFont="1" applyFill="1" applyBorder="1" applyAlignment="1">
      <alignment horizontal="centerContinuous"/>
    </xf>
    <xf numFmtId="0" fontId="49" fillId="35" borderId="13" xfId="0" applyFont="1" applyFill="1" applyBorder="1" applyAlignment="1">
      <alignment horizontal="centerContinuous"/>
    </xf>
    <xf numFmtId="0" fontId="49" fillId="35" borderId="13" xfId="0" applyFont="1" applyFill="1" applyBorder="1" applyAlignment="1">
      <alignment/>
    </xf>
    <xf numFmtId="0" fontId="42" fillId="35" borderId="13" xfId="0" applyFont="1" applyFill="1" applyBorder="1" applyAlignment="1">
      <alignment/>
    </xf>
    <xf numFmtId="0" fontId="50" fillId="35" borderId="13" xfId="0" applyFont="1" applyFill="1" applyBorder="1" applyAlignment="1">
      <alignment horizontal="centerContinuous"/>
    </xf>
    <xf numFmtId="0" fontId="0" fillId="38" borderId="0" xfId="0" applyFill="1" applyAlignment="1">
      <alignment/>
    </xf>
    <xf numFmtId="0" fontId="42" fillId="35" borderId="28" xfId="0" applyFont="1" applyFill="1" applyBorder="1" applyAlignment="1">
      <alignment horizontal="left" indent="1"/>
    </xf>
    <xf numFmtId="0" fontId="42" fillId="35" borderId="28" xfId="0" applyFont="1" applyFill="1" applyBorder="1" applyAlignment="1">
      <alignment horizontal="left" indent="2"/>
    </xf>
    <xf numFmtId="0" fontId="42" fillId="35" borderId="28" xfId="0" applyFont="1" applyFill="1" applyBorder="1" applyAlignment="1">
      <alignment horizontal="left" indent="1"/>
    </xf>
    <xf numFmtId="3" fontId="9" fillId="0" borderId="10" xfId="0" applyNumberFormat="1"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xf>
    <xf numFmtId="3" fontId="9" fillId="0" borderId="10" xfId="0" applyNumberFormat="1" applyFont="1" applyFill="1" applyBorder="1" applyAlignment="1">
      <alignment/>
    </xf>
    <xf numFmtId="3" fontId="0" fillId="0" borderId="0" xfId="0" applyNumberFormat="1" applyAlignment="1">
      <alignment/>
    </xf>
    <xf numFmtId="0" fontId="0" fillId="33" borderId="22" xfId="0" applyFill="1" applyBorder="1" applyAlignment="1">
      <alignment/>
    </xf>
    <xf numFmtId="0" fontId="0" fillId="33" borderId="18" xfId="0" applyFill="1" applyBorder="1" applyAlignment="1">
      <alignment horizontal="centerContinuous"/>
    </xf>
    <xf numFmtId="3" fontId="0" fillId="33" borderId="11" xfId="0" applyNumberFormat="1" applyFill="1" applyBorder="1" applyAlignment="1">
      <alignment horizontal="centerContinuous"/>
    </xf>
    <xf numFmtId="3" fontId="0" fillId="33" borderId="12" xfId="0" applyNumberFormat="1" applyFill="1" applyBorder="1" applyAlignment="1">
      <alignment horizontal="centerContinuous"/>
    </xf>
    <xf numFmtId="0" fontId="0" fillId="33" borderId="37" xfId="0" applyFill="1" applyBorder="1" applyAlignment="1">
      <alignment horizontal="center"/>
    </xf>
    <xf numFmtId="0" fontId="0" fillId="33" borderId="19" xfId="0" applyFill="1" applyBorder="1" applyAlignment="1">
      <alignment horizontal="centerContinuous"/>
    </xf>
    <xf numFmtId="0" fontId="0" fillId="33" borderId="23" xfId="0" applyFill="1" applyBorder="1" applyAlignment="1">
      <alignment horizontal="center"/>
    </xf>
    <xf numFmtId="0" fontId="0" fillId="33" borderId="12" xfId="0" applyFill="1" applyBorder="1" applyAlignment="1">
      <alignment horizontal="center"/>
    </xf>
    <xf numFmtId="0" fontId="9" fillId="0" borderId="17" xfId="0" applyFont="1" applyFill="1" applyBorder="1" applyAlignment="1">
      <alignment/>
    </xf>
    <xf numFmtId="0" fontId="9" fillId="0" borderId="17" xfId="0" applyFont="1" applyFill="1" applyBorder="1" applyAlignment="1">
      <alignment/>
    </xf>
    <xf numFmtId="3" fontId="9" fillId="0" borderId="38" xfId="0" applyNumberFormat="1" applyFont="1" applyFill="1" applyBorder="1" applyAlignment="1">
      <alignment/>
    </xf>
    <xf numFmtId="3" fontId="9" fillId="0" borderId="39" xfId="0" applyNumberFormat="1" applyFont="1" applyFill="1" applyBorder="1" applyAlignment="1">
      <alignment horizontal="right"/>
    </xf>
    <xf numFmtId="3" fontId="9" fillId="0" borderId="38" xfId="0" applyNumberFormat="1" applyFont="1" applyFill="1" applyBorder="1" applyAlignment="1">
      <alignment/>
    </xf>
    <xf numFmtId="3" fontId="0" fillId="0" borderId="38" xfId="0" applyNumberFormat="1" applyBorder="1" applyAlignment="1">
      <alignment/>
    </xf>
    <xf numFmtId="0" fontId="0" fillId="33" borderId="22" xfId="0" applyFill="1" applyBorder="1" applyAlignment="1">
      <alignment horizontal="center"/>
    </xf>
    <xf numFmtId="0" fontId="0" fillId="0" borderId="40" xfId="0" applyBorder="1" applyAlignment="1">
      <alignment/>
    </xf>
    <xf numFmtId="0" fontId="0" fillId="0" borderId="41" xfId="0" applyBorder="1" applyAlignment="1">
      <alignment/>
    </xf>
    <xf numFmtId="0" fontId="9" fillId="0" borderId="41" xfId="0" applyFont="1" applyFill="1" applyBorder="1" applyAlignment="1">
      <alignment/>
    </xf>
    <xf numFmtId="0" fontId="9" fillId="0" borderId="42" xfId="0" applyFont="1" applyFill="1" applyBorder="1" applyAlignment="1">
      <alignment/>
    </xf>
    <xf numFmtId="3" fontId="9" fillId="0" borderId="43" xfId="0" applyNumberFormat="1" applyFont="1" applyFill="1" applyBorder="1" applyAlignment="1">
      <alignment/>
    </xf>
    <xf numFmtId="3" fontId="9" fillId="0" borderId="41" xfId="0" applyNumberFormat="1" applyFont="1" applyFill="1" applyBorder="1" applyAlignment="1">
      <alignment/>
    </xf>
    <xf numFmtId="3" fontId="9" fillId="0" borderId="44" xfId="0" applyNumberFormat="1" applyFont="1" applyFill="1" applyBorder="1" applyAlignment="1">
      <alignment horizontal="right"/>
    </xf>
    <xf numFmtId="3" fontId="0" fillId="0" borderId="43" xfId="0" applyNumberFormat="1" applyBorder="1" applyAlignment="1">
      <alignment/>
    </xf>
    <xf numFmtId="3" fontId="0" fillId="0" borderId="41" xfId="0" applyNumberFormat="1" applyBorder="1" applyAlignment="1">
      <alignment/>
    </xf>
    <xf numFmtId="3" fontId="0" fillId="0" borderId="44"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9" fillId="0" borderId="47" xfId="0" applyFont="1" applyFill="1" applyBorder="1" applyAlignment="1">
      <alignment/>
    </xf>
    <xf numFmtId="0" fontId="9" fillId="0" borderId="48" xfId="0" applyFont="1" applyFill="1" applyBorder="1" applyAlignment="1">
      <alignment/>
    </xf>
    <xf numFmtId="3" fontId="9" fillId="0" borderId="49" xfId="0" applyNumberFormat="1" applyFont="1" applyFill="1" applyBorder="1" applyAlignment="1">
      <alignment/>
    </xf>
    <xf numFmtId="3" fontId="9" fillId="0" borderId="47" xfId="0" applyNumberFormat="1" applyFont="1" applyFill="1" applyBorder="1" applyAlignment="1">
      <alignment/>
    </xf>
    <xf numFmtId="3" fontId="9" fillId="0" borderId="50" xfId="0" applyNumberFormat="1" applyFont="1" applyFill="1" applyBorder="1" applyAlignment="1">
      <alignment horizontal="right"/>
    </xf>
    <xf numFmtId="3" fontId="0" fillId="0" borderId="49" xfId="0" applyNumberFormat="1" applyBorder="1" applyAlignment="1">
      <alignment/>
    </xf>
    <xf numFmtId="3" fontId="0" fillId="0" borderId="47" xfId="0" applyNumberFormat="1" applyBorder="1" applyAlignment="1">
      <alignment/>
    </xf>
    <xf numFmtId="0" fontId="0" fillId="39" borderId="40" xfId="0" applyFill="1" applyBorder="1" applyAlignment="1">
      <alignment/>
    </xf>
    <xf numFmtId="0" fontId="0" fillId="39" borderId="41" xfId="0" applyFill="1" applyBorder="1" applyAlignment="1">
      <alignment/>
    </xf>
    <xf numFmtId="0" fontId="9" fillId="39" borderId="41" xfId="0" applyFont="1" applyFill="1" applyBorder="1" applyAlignment="1">
      <alignment/>
    </xf>
    <xf numFmtId="0" fontId="9" fillId="39" borderId="42" xfId="0" applyFont="1" applyFill="1" applyBorder="1" applyAlignment="1">
      <alignment/>
    </xf>
    <xf numFmtId="3" fontId="9" fillId="39" borderId="43" xfId="0" applyNumberFormat="1" applyFont="1" applyFill="1" applyBorder="1" applyAlignment="1">
      <alignment/>
    </xf>
    <xf numFmtId="3" fontId="9" fillId="39" borderId="41" xfId="0" applyNumberFormat="1" applyFont="1" applyFill="1" applyBorder="1" applyAlignment="1">
      <alignment/>
    </xf>
    <xf numFmtId="3" fontId="9" fillId="39" borderId="44" xfId="0" applyNumberFormat="1" applyFont="1" applyFill="1" applyBorder="1" applyAlignment="1">
      <alignment horizontal="right"/>
    </xf>
    <xf numFmtId="3" fontId="0" fillId="39" borderId="43" xfId="0" applyNumberFormat="1" applyFill="1" applyBorder="1" applyAlignment="1">
      <alignment/>
    </xf>
    <xf numFmtId="3" fontId="0" fillId="39" borderId="41" xfId="0" applyNumberFormat="1" applyFill="1" applyBorder="1" applyAlignment="1">
      <alignment/>
    </xf>
    <xf numFmtId="0" fontId="0" fillId="39" borderId="45" xfId="0" applyFill="1" applyBorder="1" applyAlignment="1">
      <alignment/>
    </xf>
    <xf numFmtId="0" fontId="0" fillId="39" borderId="10" xfId="0" applyFill="1" applyBorder="1" applyAlignment="1">
      <alignment/>
    </xf>
    <xf numFmtId="0" fontId="9" fillId="39" borderId="10" xfId="0" applyFont="1" applyFill="1" applyBorder="1" applyAlignment="1">
      <alignment/>
    </xf>
    <xf numFmtId="0" fontId="9" fillId="39" borderId="17" xfId="0" applyFont="1" applyFill="1" applyBorder="1" applyAlignment="1">
      <alignment/>
    </xf>
    <xf numFmtId="3" fontId="9" fillId="39" borderId="38" xfId="0" applyNumberFormat="1" applyFont="1" applyFill="1" applyBorder="1" applyAlignment="1">
      <alignment/>
    </xf>
    <xf numFmtId="3" fontId="9" fillId="39" borderId="10" xfId="0" applyNumberFormat="1" applyFont="1" applyFill="1" applyBorder="1" applyAlignment="1">
      <alignment/>
    </xf>
    <xf numFmtId="3" fontId="9" fillId="39" borderId="39" xfId="0" applyNumberFormat="1" applyFont="1" applyFill="1" applyBorder="1" applyAlignment="1">
      <alignment horizontal="right"/>
    </xf>
    <xf numFmtId="3" fontId="0" fillId="39" borderId="38" xfId="0" applyNumberFormat="1" applyFill="1" applyBorder="1" applyAlignment="1">
      <alignment/>
    </xf>
    <xf numFmtId="3" fontId="0" fillId="39" borderId="10" xfId="0" applyNumberFormat="1" applyFill="1" applyBorder="1" applyAlignment="1">
      <alignment/>
    </xf>
    <xf numFmtId="0" fontId="0" fillId="39" borderId="46" xfId="0" applyFill="1" applyBorder="1" applyAlignment="1">
      <alignment/>
    </xf>
    <xf numFmtId="0" fontId="0" fillId="39" borderId="47" xfId="0" applyFill="1" applyBorder="1" applyAlignment="1">
      <alignment/>
    </xf>
    <xf numFmtId="0" fontId="9" fillId="39" borderId="47" xfId="0" applyFont="1" applyFill="1" applyBorder="1" applyAlignment="1">
      <alignment/>
    </xf>
    <xf numFmtId="0" fontId="9" fillId="39" borderId="48" xfId="0" applyFont="1" applyFill="1" applyBorder="1" applyAlignment="1">
      <alignment/>
    </xf>
    <xf numFmtId="3" fontId="9" fillId="39" borderId="49" xfId="0" applyNumberFormat="1" applyFont="1" applyFill="1" applyBorder="1" applyAlignment="1">
      <alignment/>
    </xf>
    <xf numFmtId="3" fontId="9" fillId="39" borderId="47" xfId="0" applyNumberFormat="1" applyFont="1" applyFill="1" applyBorder="1" applyAlignment="1">
      <alignment/>
    </xf>
    <xf numFmtId="3" fontId="9" fillId="39" borderId="50" xfId="0" applyNumberFormat="1" applyFont="1" applyFill="1" applyBorder="1" applyAlignment="1">
      <alignment horizontal="right"/>
    </xf>
    <xf numFmtId="3" fontId="0" fillId="39" borderId="49" xfId="0" applyNumberFormat="1" applyFill="1" applyBorder="1" applyAlignment="1">
      <alignment/>
    </xf>
    <xf numFmtId="3" fontId="0" fillId="39" borderId="47" xfId="0" applyNumberFormat="1" applyFill="1" applyBorder="1" applyAlignment="1">
      <alignment/>
    </xf>
    <xf numFmtId="0" fontId="9" fillId="39" borderId="10" xfId="0" applyFont="1" applyFill="1" applyBorder="1" applyAlignment="1">
      <alignment/>
    </xf>
    <xf numFmtId="0" fontId="9" fillId="39" borderId="17" xfId="0" applyFont="1" applyFill="1" applyBorder="1" applyAlignment="1">
      <alignment/>
    </xf>
    <xf numFmtId="3" fontId="9" fillId="39" borderId="38" xfId="0" applyNumberFormat="1" applyFont="1" applyFill="1" applyBorder="1" applyAlignment="1">
      <alignment/>
    </xf>
    <xf numFmtId="3" fontId="9" fillId="39" borderId="10" xfId="0" applyNumberFormat="1" applyFont="1" applyFill="1" applyBorder="1" applyAlignment="1">
      <alignment/>
    </xf>
    <xf numFmtId="3" fontId="0" fillId="39" borderId="51" xfId="0" applyNumberFormat="1" applyFill="1" applyBorder="1" applyAlignment="1">
      <alignment/>
    </xf>
    <xf numFmtId="3" fontId="0" fillId="39" borderId="23" xfId="0" applyNumberFormat="1" applyFill="1" applyBorder="1" applyAlignment="1">
      <alignment/>
    </xf>
    <xf numFmtId="3" fontId="9" fillId="39" borderId="52" xfId="0" applyNumberFormat="1" applyFont="1" applyFill="1" applyBorder="1" applyAlignment="1">
      <alignment horizontal="right"/>
    </xf>
    <xf numFmtId="3" fontId="0" fillId="0" borderId="53" xfId="0" applyNumberFormat="1" applyBorder="1" applyAlignment="1">
      <alignment/>
    </xf>
    <xf numFmtId="164" fontId="0" fillId="0" borderId="38" xfId="0" applyNumberFormat="1" applyBorder="1" applyAlignment="1">
      <alignment/>
    </xf>
    <xf numFmtId="164" fontId="0" fillId="0" borderId="54" xfId="0" applyNumberFormat="1" applyBorder="1" applyAlignment="1">
      <alignment/>
    </xf>
    <xf numFmtId="164" fontId="0" fillId="0" borderId="49" xfId="0" applyNumberFormat="1" applyBorder="1" applyAlignment="1">
      <alignment/>
    </xf>
    <xf numFmtId="164" fontId="0" fillId="0" borderId="55" xfId="0" applyNumberFormat="1" applyBorder="1" applyAlignment="1">
      <alignment/>
    </xf>
    <xf numFmtId="3" fontId="0" fillId="39" borderId="53" xfId="0" applyNumberFormat="1" applyFill="1" applyBorder="1" applyAlignment="1">
      <alignment/>
    </xf>
    <xf numFmtId="164" fontId="0" fillId="39" borderId="38" xfId="0" applyNumberFormat="1" applyFill="1" applyBorder="1" applyAlignment="1">
      <alignment/>
    </xf>
    <xf numFmtId="164" fontId="0" fillId="39" borderId="54" xfId="0" applyNumberFormat="1" applyFill="1" applyBorder="1" applyAlignment="1">
      <alignment/>
    </xf>
    <xf numFmtId="164" fontId="0" fillId="39" borderId="49" xfId="0" applyNumberFormat="1" applyFill="1" applyBorder="1" applyAlignment="1">
      <alignment/>
    </xf>
    <xf numFmtId="164" fontId="0" fillId="39" borderId="55" xfId="0" applyNumberFormat="1" applyFill="1" applyBorder="1" applyAlignment="1">
      <alignment/>
    </xf>
    <xf numFmtId="164" fontId="0" fillId="0" borderId="43" xfId="0" applyNumberFormat="1" applyBorder="1" applyAlignment="1">
      <alignment/>
    </xf>
    <xf numFmtId="164" fontId="0" fillId="0" borderId="53" xfId="0" applyNumberFormat="1" applyBorder="1" applyAlignment="1">
      <alignment/>
    </xf>
    <xf numFmtId="164" fontId="0" fillId="39" borderId="43" xfId="0" applyNumberFormat="1" applyFill="1" applyBorder="1" applyAlignment="1">
      <alignment/>
    </xf>
    <xf numFmtId="3" fontId="0" fillId="39" borderId="54" xfId="0" applyNumberFormat="1" applyFill="1" applyBorder="1" applyAlignment="1">
      <alignment/>
    </xf>
    <xf numFmtId="0" fontId="0" fillId="39" borderId="38" xfId="0" applyFill="1" applyBorder="1" applyAlignment="1">
      <alignment/>
    </xf>
    <xf numFmtId="165" fontId="0" fillId="39" borderId="54" xfId="0" applyNumberFormat="1" applyFill="1" applyBorder="1" applyAlignment="1">
      <alignment/>
    </xf>
    <xf numFmtId="0" fontId="0" fillId="39" borderId="49" xfId="0" applyFill="1" applyBorder="1" applyAlignment="1">
      <alignment/>
    </xf>
    <xf numFmtId="3" fontId="0" fillId="39" borderId="55" xfId="0" applyNumberFormat="1" applyFill="1" applyBorder="1" applyAlignment="1">
      <alignment/>
    </xf>
    <xf numFmtId="0" fontId="9" fillId="0" borderId="41" xfId="0" applyFont="1" applyFill="1" applyBorder="1" applyAlignment="1">
      <alignment/>
    </xf>
    <xf numFmtId="0" fontId="9" fillId="0" borderId="42" xfId="0" applyFont="1" applyFill="1" applyBorder="1" applyAlignment="1">
      <alignment/>
    </xf>
    <xf numFmtId="3" fontId="9" fillId="0" borderId="43" xfId="0" applyNumberFormat="1" applyFont="1" applyFill="1" applyBorder="1" applyAlignment="1">
      <alignment/>
    </xf>
    <xf numFmtId="3" fontId="9" fillId="0" borderId="41" xfId="0" applyNumberFormat="1" applyFont="1" applyFill="1" applyBorder="1" applyAlignment="1">
      <alignment/>
    </xf>
    <xf numFmtId="164" fontId="0" fillId="39" borderId="53" xfId="0" applyNumberFormat="1" applyFill="1" applyBorder="1" applyAlignment="1">
      <alignment/>
    </xf>
    <xf numFmtId="0" fontId="9" fillId="0" borderId="47" xfId="0" applyFont="1" applyFill="1" applyBorder="1" applyAlignment="1">
      <alignment/>
    </xf>
    <xf numFmtId="0" fontId="9" fillId="0" borderId="48" xfId="0" applyFont="1" applyFill="1" applyBorder="1" applyAlignment="1">
      <alignment/>
    </xf>
    <xf numFmtId="3" fontId="9" fillId="0" borderId="49" xfId="0" applyNumberFormat="1" applyFont="1" applyFill="1" applyBorder="1" applyAlignment="1">
      <alignment/>
    </xf>
    <xf numFmtId="3" fontId="9" fillId="0" borderId="47" xfId="0" applyNumberFormat="1" applyFont="1" applyFill="1" applyBorder="1" applyAlignment="1">
      <alignment/>
    </xf>
    <xf numFmtId="164" fontId="0" fillId="0" borderId="54" xfId="0" applyNumberFormat="1" applyFill="1" applyBorder="1" applyAlignment="1">
      <alignment/>
    </xf>
    <xf numFmtId="164" fontId="0" fillId="0" borderId="53" xfId="0" applyNumberFormat="1" applyFill="1" applyBorder="1" applyAlignment="1">
      <alignment/>
    </xf>
    <xf numFmtId="164" fontId="0" fillId="0" borderId="55" xfId="0" applyNumberFormat="1" applyFill="1" applyBorder="1" applyAlignment="1">
      <alignment/>
    </xf>
    <xf numFmtId="0" fontId="9" fillId="39" borderId="41" xfId="0" applyFont="1" applyFill="1" applyBorder="1" applyAlignment="1">
      <alignment/>
    </xf>
    <xf numFmtId="0" fontId="9" fillId="39" borderId="42" xfId="0" applyFont="1" applyFill="1" applyBorder="1" applyAlignment="1">
      <alignment/>
    </xf>
    <xf numFmtId="3" fontId="9" fillId="39" borderId="43" xfId="0" applyNumberFormat="1" applyFont="1" applyFill="1" applyBorder="1" applyAlignment="1">
      <alignment/>
    </xf>
    <xf numFmtId="3" fontId="9" fillId="39" borderId="41" xfId="0" applyNumberFormat="1" applyFont="1" applyFill="1" applyBorder="1" applyAlignment="1">
      <alignment/>
    </xf>
    <xf numFmtId="0" fontId="9" fillId="39" borderId="47" xfId="0" applyFont="1" applyFill="1" applyBorder="1" applyAlignment="1">
      <alignment/>
    </xf>
    <xf numFmtId="0" fontId="9" fillId="39" borderId="48" xfId="0" applyFont="1" applyFill="1" applyBorder="1" applyAlignment="1">
      <alignment/>
    </xf>
    <xf numFmtId="3" fontId="9" fillId="39" borderId="49" xfId="0" applyNumberFormat="1" applyFont="1" applyFill="1" applyBorder="1" applyAlignment="1">
      <alignment/>
    </xf>
    <xf numFmtId="3" fontId="9" fillId="39" borderId="47" xfId="0" applyNumberFormat="1" applyFont="1" applyFill="1" applyBorder="1" applyAlignment="1">
      <alignment/>
    </xf>
    <xf numFmtId="0" fontId="0" fillId="0" borderId="43" xfId="0" applyFill="1" applyBorder="1" applyAlignment="1">
      <alignment/>
    </xf>
    <xf numFmtId="0" fontId="0" fillId="0" borderId="38" xfId="0" applyFill="1" applyBorder="1" applyAlignment="1">
      <alignment/>
    </xf>
    <xf numFmtId="0" fontId="0" fillId="0" borderId="49" xfId="0" applyFill="1" applyBorder="1" applyAlignment="1">
      <alignment/>
    </xf>
    <xf numFmtId="2" fontId="0" fillId="39" borderId="43" xfId="0" applyNumberFormat="1" applyFill="1" applyBorder="1" applyAlignment="1">
      <alignment/>
    </xf>
    <xf numFmtId="2" fontId="0" fillId="39" borderId="38" xfId="0" applyNumberFormat="1" applyFill="1" applyBorder="1" applyAlignment="1">
      <alignment/>
    </xf>
    <xf numFmtId="2" fontId="0" fillId="39" borderId="49" xfId="0" applyNumberFormat="1" applyFill="1" applyBorder="1" applyAlignment="1">
      <alignment/>
    </xf>
    <xf numFmtId="0" fontId="0" fillId="0" borderId="0" xfId="0" applyFill="1" applyAlignment="1">
      <alignment/>
    </xf>
    <xf numFmtId="165" fontId="0" fillId="0" borderId="43" xfId="0" applyNumberFormat="1" applyBorder="1" applyAlignment="1">
      <alignment/>
    </xf>
    <xf numFmtId="165" fontId="0" fillId="0" borderId="38" xfId="0" applyNumberFormat="1" applyBorder="1" applyAlignment="1">
      <alignment/>
    </xf>
    <xf numFmtId="165" fontId="0" fillId="0" borderId="49" xfId="0" applyNumberFormat="1" applyBorder="1" applyAlignment="1">
      <alignment/>
    </xf>
    <xf numFmtId="0" fontId="54" fillId="0" borderId="0" xfId="0" applyFont="1" applyAlignment="1">
      <alignment/>
    </xf>
    <xf numFmtId="0" fontId="0" fillId="0" borderId="56" xfId="0" applyFill="1" applyBorder="1" applyAlignment="1">
      <alignment/>
    </xf>
    <xf numFmtId="0" fontId="0" fillId="0" borderId="57" xfId="0" applyFill="1" applyBorder="1" applyAlignment="1">
      <alignment/>
    </xf>
    <xf numFmtId="0" fontId="9" fillId="0" borderId="57" xfId="0" applyFont="1" applyFill="1" applyBorder="1" applyAlignment="1">
      <alignment/>
    </xf>
    <xf numFmtId="0" fontId="0" fillId="0" borderId="58" xfId="0" applyBorder="1" applyAlignment="1">
      <alignment/>
    </xf>
    <xf numFmtId="3" fontId="0" fillId="0" borderId="58" xfId="0" applyNumberFormat="1" applyBorder="1" applyAlignment="1">
      <alignment/>
    </xf>
    <xf numFmtId="0" fontId="0" fillId="0" borderId="59" xfId="0" applyFill="1" applyBorder="1" applyAlignment="1">
      <alignment/>
    </xf>
    <xf numFmtId="0" fontId="0" fillId="0" borderId="60" xfId="0" applyFill="1" applyBorder="1" applyAlignment="1">
      <alignment/>
    </xf>
    <xf numFmtId="0" fontId="0" fillId="0" borderId="61" xfId="0" applyBorder="1" applyAlignment="1">
      <alignment/>
    </xf>
    <xf numFmtId="3" fontId="0" fillId="0" borderId="61" xfId="0" applyNumberFormat="1" applyBorder="1" applyAlignment="1">
      <alignment/>
    </xf>
    <xf numFmtId="0" fontId="0" fillId="0" borderId="62" xfId="0" applyBorder="1" applyAlignment="1">
      <alignment/>
    </xf>
    <xf numFmtId="0" fontId="0" fillId="0" borderId="60" xfId="0" applyBorder="1" applyAlignment="1">
      <alignment/>
    </xf>
    <xf numFmtId="0" fontId="0" fillId="0" borderId="63" xfId="0" applyBorder="1" applyAlignment="1">
      <alignment/>
    </xf>
    <xf numFmtId="3" fontId="0" fillId="33" borderId="64" xfId="0" applyNumberFormat="1" applyFill="1" applyBorder="1" applyAlignment="1">
      <alignment/>
    </xf>
    <xf numFmtId="0" fontId="0" fillId="33" borderId="64" xfId="0" applyFill="1" applyBorder="1" applyAlignment="1">
      <alignment/>
    </xf>
    <xf numFmtId="164" fontId="0" fillId="33" borderId="53" xfId="0" applyNumberFormat="1" applyFill="1" applyBorder="1" applyAlignment="1">
      <alignment/>
    </xf>
    <xf numFmtId="3" fontId="0" fillId="33" borderId="65" xfId="0" applyNumberFormat="1" applyFill="1" applyBorder="1" applyAlignment="1">
      <alignment/>
    </xf>
    <xf numFmtId="0" fontId="0" fillId="33" borderId="65" xfId="0" applyFill="1" applyBorder="1" applyAlignment="1">
      <alignment/>
    </xf>
    <xf numFmtId="2" fontId="0" fillId="33" borderId="55" xfId="0" applyNumberFormat="1" applyFill="1" applyBorder="1" applyAlignment="1">
      <alignment/>
    </xf>
    <xf numFmtId="3" fontId="0" fillId="0" borderId="0" xfId="0" applyNumberFormat="1" applyFill="1" applyBorder="1" applyAlignment="1">
      <alignment/>
    </xf>
    <xf numFmtId="0" fontId="0" fillId="0" borderId="0" xfId="0" applyFill="1" applyBorder="1" applyAlignment="1">
      <alignment horizontal="center"/>
    </xf>
    <xf numFmtId="0" fontId="0" fillId="34" borderId="0" xfId="0" applyFill="1" applyAlignment="1" applyProtection="1">
      <alignment/>
      <protection hidden="1"/>
    </xf>
    <xf numFmtId="49" fontId="0" fillId="34" borderId="0" xfId="0" applyNumberFormat="1" applyFill="1" applyAlignment="1" applyProtection="1">
      <alignment/>
      <protection hidden="1"/>
    </xf>
    <xf numFmtId="0" fontId="0" fillId="0" borderId="0" xfId="0" applyAlignment="1" applyProtection="1">
      <alignment/>
      <protection hidden="1"/>
    </xf>
    <xf numFmtId="0" fontId="26" fillId="34" borderId="0" xfId="0" applyFont="1" applyFill="1" applyAlignment="1" applyProtection="1">
      <alignment/>
      <protection hidden="1"/>
    </xf>
    <xf numFmtId="49" fontId="27" fillId="34" borderId="0" xfId="0" applyNumberFormat="1" applyFont="1" applyFill="1" applyAlignment="1" applyProtection="1">
      <alignment horizontal="centerContinuous"/>
      <protection hidden="1"/>
    </xf>
    <xf numFmtId="0" fontId="28" fillId="34" borderId="0" xfId="0" applyFont="1" applyFill="1" applyAlignment="1" applyProtection="1">
      <alignment horizontal="centerContinuous"/>
      <protection hidden="1"/>
    </xf>
    <xf numFmtId="0" fontId="26" fillId="34" borderId="0" xfId="0" applyFont="1" applyFill="1" applyAlignment="1" applyProtection="1">
      <alignment horizontal="centerContinuous"/>
      <protection hidden="1"/>
    </xf>
    <xf numFmtId="0" fontId="40" fillId="34" borderId="0" xfId="0" applyFont="1" applyFill="1" applyAlignment="1" applyProtection="1">
      <alignment horizontal="centerContinuous"/>
      <protection hidden="1"/>
    </xf>
    <xf numFmtId="0" fontId="32" fillId="34" borderId="0" xfId="0" applyFont="1" applyFill="1" applyAlignment="1" applyProtection="1">
      <alignment horizontal="centerContinuous"/>
      <protection hidden="1"/>
    </xf>
    <xf numFmtId="0" fontId="11" fillId="34" borderId="0" xfId="0" applyFont="1" applyFill="1" applyAlignment="1" applyProtection="1">
      <alignment horizontal="centerContinuous"/>
      <protection hidden="1"/>
    </xf>
    <xf numFmtId="49" fontId="41" fillId="35" borderId="25" xfId="0" applyNumberFormat="1" applyFont="1" applyFill="1" applyBorder="1" applyAlignment="1" applyProtection="1">
      <alignment horizontal="centerContinuous"/>
      <protection hidden="1"/>
    </xf>
    <xf numFmtId="0" fontId="11" fillId="35" borderId="26" xfId="0" applyFont="1" applyFill="1" applyBorder="1" applyAlignment="1" applyProtection="1">
      <alignment horizontal="centerContinuous"/>
      <protection hidden="1"/>
    </xf>
    <xf numFmtId="0" fontId="0" fillId="35" borderId="27" xfId="0" applyFill="1" applyBorder="1" applyAlignment="1" applyProtection="1">
      <alignment horizontal="centerContinuous"/>
      <protection hidden="1"/>
    </xf>
    <xf numFmtId="49" fontId="0" fillId="33" borderId="66" xfId="0" applyNumberFormat="1" applyFont="1" applyFill="1" applyBorder="1" applyAlignment="1" applyProtection="1">
      <alignment horizontal="center"/>
      <protection hidden="1"/>
    </xf>
    <xf numFmtId="0" fontId="0" fillId="33" borderId="22" xfId="0" applyFont="1" applyFill="1" applyBorder="1" applyAlignment="1" applyProtection="1">
      <alignment horizontal="center"/>
      <protection hidden="1"/>
    </xf>
    <xf numFmtId="0" fontId="0" fillId="33" borderId="67" xfId="0" applyFont="1" applyFill="1" applyBorder="1" applyAlignment="1" applyProtection="1">
      <alignment horizontal="center"/>
      <protection hidden="1"/>
    </xf>
    <xf numFmtId="49" fontId="0" fillId="33" borderId="51" xfId="0" applyNumberFormat="1" applyFont="1" applyFill="1" applyBorder="1" applyAlignment="1" applyProtection="1">
      <alignment horizontal="center"/>
      <protection hidden="1"/>
    </xf>
    <xf numFmtId="0" fontId="0" fillId="33" borderId="23" xfId="0" applyFont="1" applyFill="1" applyBorder="1" applyAlignment="1" applyProtection="1">
      <alignment horizontal="center"/>
      <protection hidden="1"/>
    </xf>
    <xf numFmtId="0" fontId="0" fillId="33" borderId="52" xfId="0" applyFont="1" applyFill="1" applyBorder="1" applyAlignment="1" applyProtection="1">
      <alignment horizontal="center"/>
      <protection hidden="1"/>
    </xf>
    <xf numFmtId="49" fontId="0" fillId="0" borderId="38" xfId="0" applyNumberFormat="1" applyBorder="1" applyAlignment="1" applyProtection="1">
      <alignment horizontal="right"/>
      <protection hidden="1"/>
    </xf>
    <xf numFmtId="0" fontId="0" fillId="0" borderId="10" xfId="0" applyBorder="1" applyAlignment="1" applyProtection="1">
      <alignment horizontal="left" indent="1"/>
      <protection hidden="1"/>
    </xf>
    <xf numFmtId="3" fontId="0" fillId="0" borderId="10" xfId="0" applyNumberFormat="1" applyFill="1" applyBorder="1" applyAlignment="1" applyProtection="1">
      <alignment/>
      <protection hidden="1"/>
    </xf>
    <xf numFmtId="0" fontId="8" fillId="36" borderId="39" xfId="0" applyFont="1" applyFill="1" applyBorder="1" applyAlignment="1" applyProtection="1">
      <alignment horizontal="center"/>
      <protection hidden="1"/>
    </xf>
    <xf numFmtId="164" fontId="0" fillId="0" borderId="10" xfId="0" applyNumberFormat="1" applyFill="1" applyBorder="1" applyAlignment="1" applyProtection="1">
      <alignment/>
      <protection hidden="1"/>
    </xf>
    <xf numFmtId="164" fontId="0" fillId="0" borderId="10" xfId="0" applyNumberFormat="1" applyFill="1" applyBorder="1" applyAlignment="1" applyProtection="1">
      <alignment horizontal="center"/>
      <protection hidden="1"/>
    </xf>
    <xf numFmtId="164" fontId="0" fillId="34" borderId="0" xfId="0" applyNumberFormat="1" applyFill="1" applyAlignment="1" applyProtection="1">
      <alignment/>
      <protection hidden="1"/>
    </xf>
    <xf numFmtId="3" fontId="0" fillId="34" borderId="0" xfId="0" applyNumberFormat="1" applyFill="1" applyAlignment="1" applyProtection="1">
      <alignment/>
      <protection hidden="1"/>
    </xf>
    <xf numFmtId="49" fontId="41" fillId="35" borderId="28" xfId="0" applyNumberFormat="1" applyFont="1" applyFill="1" applyBorder="1" applyAlignment="1" applyProtection="1">
      <alignment horizontal="centerContinuous"/>
      <protection hidden="1"/>
    </xf>
    <xf numFmtId="0" fontId="41" fillId="35" borderId="0" xfId="0" applyFont="1" applyFill="1" applyBorder="1" applyAlignment="1" applyProtection="1">
      <alignment horizontal="centerContinuous"/>
      <protection hidden="1"/>
    </xf>
    <xf numFmtId="0" fontId="43" fillId="35" borderId="24" xfId="0" applyFont="1" applyFill="1" applyBorder="1" applyAlignment="1" applyProtection="1">
      <alignment/>
      <protection hidden="1"/>
    </xf>
    <xf numFmtId="0" fontId="8" fillId="36" borderId="39" xfId="0" applyFont="1" applyFill="1" applyBorder="1" applyAlignment="1" applyProtection="1">
      <alignment/>
      <protection hidden="1"/>
    </xf>
    <xf numFmtId="0" fontId="0" fillId="33" borderId="18" xfId="0" applyFont="1" applyFill="1" applyBorder="1" applyAlignment="1" applyProtection="1">
      <alignment horizontal="centerContinuous"/>
      <protection hidden="1"/>
    </xf>
    <xf numFmtId="0" fontId="0" fillId="33" borderId="14" xfId="0" applyFont="1" applyFill="1" applyBorder="1" applyAlignment="1" applyProtection="1">
      <alignment horizontal="centerContinuous"/>
      <protection hidden="1"/>
    </xf>
    <xf numFmtId="0" fontId="0" fillId="33" borderId="19" xfId="0" applyFont="1" applyFill="1" applyBorder="1" applyAlignment="1" applyProtection="1">
      <alignment horizontal="centerContinuous"/>
      <protection hidden="1"/>
    </xf>
    <xf numFmtId="0" fontId="0" fillId="33" borderId="16" xfId="0" applyFont="1" applyFill="1" applyBorder="1" applyAlignment="1" applyProtection="1">
      <alignment horizontal="centerContinuous"/>
      <protection hidden="1"/>
    </xf>
    <xf numFmtId="3" fontId="0" fillId="0" borderId="10" xfId="0" applyNumberFormat="1" applyBorder="1" applyAlignment="1" applyProtection="1">
      <alignment horizontal="right"/>
      <protection hidden="1"/>
    </xf>
    <xf numFmtId="168" fontId="0" fillId="0" borderId="10" xfId="0" applyNumberFormat="1" applyBorder="1" applyAlignment="1" applyProtection="1">
      <alignment horizontal="right"/>
      <protection hidden="1"/>
    </xf>
    <xf numFmtId="167" fontId="0" fillId="0" borderId="10" xfId="0" applyNumberFormat="1" applyBorder="1" applyAlignment="1" applyProtection="1">
      <alignment horizontal="right"/>
      <protection hidden="1"/>
    </xf>
    <xf numFmtId="3" fontId="8" fillId="36" borderId="10" xfId="0" applyNumberFormat="1" applyFont="1" applyFill="1" applyBorder="1" applyAlignment="1" applyProtection="1">
      <alignment/>
      <protection hidden="1"/>
    </xf>
    <xf numFmtId="49" fontId="0" fillId="0" borderId="66" xfId="0" applyNumberFormat="1" applyBorder="1" applyAlignment="1" applyProtection="1">
      <alignment horizontal="right"/>
      <protection hidden="1"/>
    </xf>
    <xf numFmtId="49" fontId="41" fillId="35" borderId="68" xfId="0" applyNumberFormat="1" applyFont="1" applyFill="1" applyBorder="1" applyAlignment="1" applyProtection="1">
      <alignment horizontal="centerContinuous"/>
      <protection hidden="1"/>
    </xf>
    <xf numFmtId="0" fontId="41" fillId="35" borderId="69" xfId="0" applyFont="1" applyFill="1" applyBorder="1" applyAlignment="1" applyProtection="1">
      <alignment horizontal="centerContinuous"/>
      <protection hidden="1"/>
    </xf>
    <xf numFmtId="0" fontId="43" fillId="35" borderId="70" xfId="0" applyFont="1" applyFill="1" applyBorder="1" applyAlignment="1" applyProtection="1">
      <alignment/>
      <protection hidden="1"/>
    </xf>
    <xf numFmtId="49" fontId="0" fillId="0" borderId="71" xfId="0" applyNumberFormat="1" applyBorder="1" applyAlignment="1" applyProtection="1">
      <alignment horizontal="right"/>
      <protection hidden="1"/>
    </xf>
    <xf numFmtId="0" fontId="0" fillId="0" borderId="17" xfId="0" applyFill="1" applyBorder="1" applyAlignment="1" applyProtection="1">
      <alignment horizontal="left" indent="1"/>
      <protection hidden="1"/>
    </xf>
    <xf numFmtId="0" fontId="0" fillId="0" borderId="12" xfId="0" applyBorder="1" applyAlignment="1" applyProtection="1">
      <alignment/>
      <protection hidden="1"/>
    </xf>
    <xf numFmtId="3" fontId="0" fillId="0" borderId="12" xfId="0" applyNumberFormat="1" applyBorder="1" applyAlignment="1" applyProtection="1">
      <alignment/>
      <protection hidden="1"/>
    </xf>
    <xf numFmtId="169" fontId="8" fillId="36" borderId="39" xfId="0" applyNumberFormat="1" applyFont="1" applyFill="1" applyBorder="1" applyAlignment="1" applyProtection="1">
      <alignment/>
      <protection hidden="1"/>
    </xf>
    <xf numFmtId="49" fontId="0" fillId="40" borderId="28" xfId="0" applyNumberFormat="1" applyFill="1" applyBorder="1" applyAlignment="1" applyProtection="1">
      <alignment/>
      <protection hidden="1"/>
    </xf>
    <xf numFmtId="0" fontId="0" fillId="40" borderId="0" xfId="0" applyFill="1" applyBorder="1" applyAlignment="1" applyProtection="1">
      <alignment/>
      <protection hidden="1"/>
    </xf>
    <xf numFmtId="0" fontId="0" fillId="40" borderId="24" xfId="0" applyFill="1" applyBorder="1" applyAlignment="1" applyProtection="1">
      <alignment/>
      <protection hidden="1"/>
    </xf>
    <xf numFmtId="49" fontId="0" fillId="41" borderId="28" xfId="0" applyNumberFormat="1" applyFill="1" applyBorder="1" applyAlignment="1" applyProtection="1">
      <alignment/>
      <protection hidden="1"/>
    </xf>
    <xf numFmtId="0" fontId="0" fillId="41" borderId="0" xfId="0" applyFill="1" applyBorder="1" applyAlignment="1" applyProtection="1">
      <alignment/>
      <protection hidden="1"/>
    </xf>
    <xf numFmtId="0" fontId="0" fillId="41" borderId="24" xfId="0" applyFill="1" applyBorder="1" applyAlignment="1" applyProtection="1">
      <alignment/>
      <protection hidden="1"/>
    </xf>
    <xf numFmtId="49" fontId="41" fillId="35" borderId="71" xfId="0" applyNumberFormat="1" applyFont="1" applyFill="1" applyBorder="1" applyAlignment="1" applyProtection="1">
      <alignment horizontal="centerContinuous"/>
      <protection hidden="1"/>
    </xf>
    <xf numFmtId="0" fontId="41" fillId="35" borderId="11" xfId="0" applyFont="1" applyFill="1" applyBorder="1" applyAlignment="1" applyProtection="1">
      <alignment horizontal="centerContinuous"/>
      <protection hidden="1"/>
    </xf>
    <xf numFmtId="0" fontId="43" fillId="35" borderId="72" xfId="0" applyFont="1" applyFill="1" applyBorder="1" applyAlignment="1" applyProtection="1">
      <alignment/>
      <protection hidden="1"/>
    </xf>
    <xf numFmtId="0" fontId="0" fillId="33" borderId="13" xfId="0" applyFont="1" applyFill="1" applyBorder="1" applyAlignment="1" applyProtection="1">
      <alignment horizontal="centerContinuous"/>
      <protection hidden="1"/>
    </xf>
    <xf numFmtId="0" fontId="0" fillId="33" borderId="15" xfId="0" applyFont="1" applyFill="1" applyBorder="1" applyAlignment="1" applyProtection="1">
      <alignment horizontal="centerContinuous"/>
      <protection hidden="1"/>
    </xf>
    <xf numFmtId="0" fontId="0" fillId="0" borderId="11" xfId="0" applyBorder="1" applyAlignment="1" applyProtection="1">
      <alignment/>
      <protection hidden="1"/>
    </xf>
    <xf numFmtId="3" fontId="0" fillId="0" borderId="10" xfId="0" applyNumberFormat="1" applyBorder="1" applyAlignment="1" applyProtection="1">
      <alignment/>
      <protection hidden="1"/>
    </xf>
    <xf numFmtId="0" fontId="0" fillId="0" borderId="17" xfId="0" applyFont="1" applyBorder="1" applyAlignment="1" applyProtection="1">
      <alignment horizontal="left" indent="1"/>
      <protection hidden="1"/>
    </xf>
    <xf numFmtId="0" fontId="9" fillId="0" borderId="11" xfId="0" applyFont="1" applyBorder="1" applyAlignment="1" applyProtection="1">
      <alignment/>
      <protection hidden="1"/>
    </xf>
    <xf numFmtId="167" fontId="0" fillId="0" borderId="10" xfId="0" applyNumberFormat="1" applyBorder="1" applyAlignment="1" applyProtection="1">
      <alignment/>
      <protection hidden="1"/>
    </xf>
    <xf numFmtId="49" fontId="0" fillId="33" borderId="73" xfId="0" applyNumberFormat="1" applyFill="1" applyBorder="1" applyAlignment="1" applyProtection="1">
      <alignment horizontal="right"/>
      <protection hidden="1"/>
    </xf>
    <xf numFmtId="0" fontId="0" fillId="33" borderId="13" xfId="0" applyFill="1" applyBorder="1" applyAlignment="1" applyProtection="1">
      <alignment horizontal="left" indent="1"/>
      <protection hidden="1"/>
    </xf>
    <xf numFmtId="3" fontId="0" fillId="33" borderId="13" xfId="0" applyNumberFormat="1" applyFill="1" applyBorder="1" applyAlignment="1" applyProtection="1">
      <alignment/>
      <protection hidden="1"/>
    </xf>
    <xf numFmtId="0" fontId="0" fillId="33" borderId="74" xfId="0" applyFill="1" applyBorder="1" applyAlignment="1" applyProtection="1">
      <alignment/>
      <protection hidden="1"/>
    </xf>
    <xf numFmtId="49" fontId="0" fillId="33" borderId="28" xfId="0" applyNumberFormat="1" applyFill="1" applyBorder="1" applyAlignment="1" applyProtection="1">
      <alignment horizontal="right"/>
      <protection hidden="1"/>
    </xf>
    <xf numFmtId="0" fontId="0" fillId="33" borderId="0" xfId="0" applyFill="1" applyBorder="1" applyAlignment="1" applyProtection="1">
      <alignment horizontal="left" indent="1"/>
      <protection hidden="1"/>
    </xf>
    <xf numFmtId="3" fontId="5" fillId="33" borderId="0" xfId="0" applyNumberFormat="1" applyFont="1" applyFill="1" applyBorder="1" applyAlignment="1" applyProtection="1">
      <alignment horizontal="center"/>
      <protection hidden="1"/>
    </xf>
    <xf numFmtId="3" fontId="0" fillId="33" borderId="0" xfId="0" applyNumberFormat="1" applyFill="1" applyBorder="1" applyAlignment="1" applyProtection="1">
      <alignment/>
      <protection hidden="1"/>
    </xf>
    <xf numFmtId="0" fontId="0" fillId="33" borderId="24" xfId="0" applyFill="1" applyBorder="1" applyAlignment="1" applyProtection="1">
      <alignment/>
      <protection hidden="1"/>
    </xf>
    <xf numFmtId="49" fontId="0" fillId="33" borderId="28" xfId="0" applyNumberFormat="1" applyFill="1" applyBorder="1" applyAlignment="1" applyProtection="1">
      <alignment horizontal="left" indent="1"/>
      <protection hidden="1"/>
    </xf>
    <xf numFmtId="0" fontId="0" fillId="33" borderId="0" xfId="0" applyFill="1" applyBorder="1" applyAlignment="1" applyProtection="1">
      <alignment horizontal="left" indent="12"/>
      <protection hidden="1"/>
    </xf>
    <xf numFmtId="49" fontId="14" fillId="39" borderId="75" xfId="0" applyNumberFormat="1" applyFont="1" applyFill="1" applyBorder="1" applyAlignment="1" applyProtection="1">
      <alignment horizontal="centerContinuous"/>
      <protection hidden="1"/>
    </xf>
    <xf numFmtId="0" fontId="0" fillId="39" borderId="76" xfId="0" applyFill="1" applyBorder="1" applyAlignment="1" applyProtection="1">
      <alignment horizontal="centerContinuous"/>
      <protection hidden="1"/>
    </xf>
    <xf numFmtId="3" fontId="0" fillId="39" borderId="77" xfId="0" applyNumberFormat="1" applyFill="1" applyBorder="1" applyAlignment="1" applyProtection="1">
      <alignment horizontal="centerContinuous"/>
      <protection hidden="1"/>
    </xf>
    <xf numFmtId="49" fontId="12" fillId="39" borderId="28" xfId="0" applyNumberFormat="1" applyFont="1" applyFill="1" applyBorder="1" applyAlignment="1" applyProtection="1">
      <alignment horizontal="centerContinuous"/>
      <protection hidden="1"/>
    </xf>
    <xf numFmtId="0" fontId="0" fillId="39" borderId="0" xfId="0" applyFill="1" applyBorder="1" applyAlignment="1" applyProtection="1">
      <alignment horizontal="centerContinuous"/>
      <protection hidden="1"/>
    </xf>
    <xf numFmtId="4" fontId="19" fillId="42" borderId="78" xfId="0" applyNumberFormat="1" applyFont="1" applyFill="1" applyBorder="1" applyAlignment="1" applyProtection="1">
      <alignment horizontal="center" vertical="center"/>
      <protection hidden="1"/>
    </xf>
    <xf numFmtId="0" fontId="25" fillId="39" borderId="0" xfId="0" applyFont="1" applyFill="1" applyBorder="1" applyAlignment="1" applyProtection="1">
      <alignment horizontal="centerContinuous" vertical="center"/>
      <protection hidden="1"/>
    </xf>
    <xf numFmtId="0" fontId="23" fillId="39" borderId="0" xfId="0" applyFont="1" applyFill="1" applyBorder="1" applyAlignment="1" applyProtection="1">
      <alignment horizontal="centerContinuous" vertical="center"/>
      <protection hidden="1"/>
    </xf>
    <xf numFmtId="4" fontId="20" fillId="39" borderId="78" xfId="0" applyNumberFormat="1" applyFont="1" applyFill="1" applyBorder="1" applyAlignment="1" applyProtection="1">
      <alignment horizontal="center" vertical="center"/>
      <protection hidden="1"/>
    </xf>
    <xf numFmtId="49" fontId="21" fillId="39" borderId="28" xfId="0" applyNumberFormat="1" applyFont="1" applyFill="1" applyBorder="1" applyAlignment="1" applyProtection="1">
      <alignment horizontal="right"/>
      <protection hidden="1"/>
    </xf>
    <xf numFmtId="0" fontId="16" fillId="43" borderId="79" xfId="0" applyFont="1" applyFill="1" applyBorder="1" applyAlignment="1" applyProtection="1">
      <alignment horizontal="left" indent="7"/>
      <protection hidden="1"/>
    </xf>
    <xf numFmtId="168" fontId="0" fillId="44" borderId="80" xfId="0" applyNumberFormat="1" applyFont="1" applyFill="1" applyBorder="1" applyAlignment="1" applyProtection="1">
      <alignment horizontal="center"/>
      <protection hidden="1"/>
    </xf>
    <xf numFmtId="0" fontId="0" fillId="39" borderId="78" xfId="0" applyFill="1" applyBorder="1" applyAlignment="1" applyProtection="1">
      <alignment/>
      <protection hidden="1"/>
    </xf>
    <xf numFmtId="49" fontId="0" fillId="39" borderId="28" xfId="0" applyNumberFormat="1" applyFill="1" applyBorder="1" applyAlignment="1" applyProtection="1">
      <alignment horizontal="right"/>
      <protection hidden="1"/>
    </xf>
    <xf numFmtId="0" fontId="6" fillId="33" borderId="24" xfId="0" applyFont="1" applyFill="1" applyBorder="1" applyAlignment="1" applyProtection="1">
      <alignment/>
      <protection hidden="1"/>
    </xf>
    <xf numFmtId="49" fontId="0" fillId="39" borderId="81" xfId="0" applyNumberFormat="1" applyFill="1" applyBorder="1" applyAlignment="1" applyProtection="1">
      <alignment horizontal="right"/>
      <protection hidden="1"/>
    </xf>
    <xf numFmtId="0" fontId="0" fillId="39" borderId="15" xfId="0" applyFill="1" applyBorder="1" applyAlignment="1" applyProtection="1">
      <alignment horizontal="left" indent="1"/>
      <protection hidden="1"/>
    </xf>
    <xf numFmtId="0" fontId="0" fillId="39" borderId="15" xfId="0" applyFill="1" applyBorder="1" applyAlignment="1" applyProtection="1">
      <alignment/>
      <protection hidden="1"/>
    </xf>
    <xf numFmtId="167" fontId="0" fillId="39" borderId="82" xfId="0" applyNumberFormat="1" applyFill="1" applyBorder="1" applyAlignment="1" applyProtection="1">
      <alignment/>
      <protection hidden="1"/>
    </xf>
    <xf numFmtId="0" fontId="0" fillId="33" borderId="83" xfId="0" applyFill="1" applyBorder="1" applyAlignment="1" applyProtection="1">
      <alignment/>
      <protection hidden="1"/>
    </xf>
    <xf numFmtId="0" fontId="43" fillId="35" borderId="24" xfId="0" applyFont="1" applyFill="1" applyBorder="1" applyAlignment="1" applyProtection="1">
      <alignment horizontal="centerContinuous"/>
      <protection hidden="1"/>
    </xf>
    <xf numFmtId="0" fontId="0" fillId="33" borderId="0" xfId="0" applyFill="1" applyBorder="1" applyAlignment="1" applyProtection="1">
      <alignment/>
      <protection hidden="1"/>
    </xf>
    <xf numFmtId="167" fontId="0" fillId="33" borderId="0" xfId="0" applyNumberFormat="1" applyFill="1" applyBorder="1" applyAlignment="1" applyProtection="1">
      <alignment/>
      <protection hidden="1"/>
    </xf>
    <xf numFmtId="0" fontId="36" fillId="34" borderId="0" xfId="0" applyFont="1" applyFill="1" applyAlignment="1" applyProtection="1">
      <alignment/>
      <protection hidden="1"/>
    </xf>
    <xf numFmtId="49" fontId="0" fillId="39" borderId="28" xfId="0" applyNumberFormat="1" applyFont="1" applyFill="1" applyBorder="1" applyAlignment="1" applyProtection="1">
      <alignment horizontal="left" indent="1"/>
      <protection hidden="1"/>
    </xf>
    <xf numFmtId="0" fontId="0" fillId="39" borderId="0" xfId="0" applyFill="1" applyBorder="1" applyAlignment="1" applyProtection="1">
      <alignment/>
      <protection hidden="1"/>
    </xf>
    <xf numFmtId="0" fontId="0" fillId="39" borderId="24" xfId="0" applyFill="1" applyBorder="1" applyAlignment="1" applyProtection="1">
      <alignment/>
      <protection hidden="1"/>
    </xf>
    <xf numFmtId="49" fontId="0" fillId="39" borderId="28" xfId="0" applyNumberFormat="1" applyFill="1" applyBorder="1" applyAlignment="1" applyProtection="1">
      <alignment horizontal="left" indent="1"/>
      <protection hidden="1"/>
    </xf>
    <xf numFmtId="0" fontId="37" fillId="33" borderId="0" xfId="0" applyFont="1" applyFill="1" applyBorder="1" applyAlignment="1" applyProtection="1">
      <alignment horizontal="right"/>
      <protection hidden="1"/>
    </xf>
    <xf numFmtId="164" fontId="37" fillId="33" borderId="0" xfId="0" applyNumberFormat="1" applyFont="1" applyFill="1" applyBorder="1" applyAlignment="1" applyProtection="1">
      <alignment horizontal="left"/>
      <protection hidden="1"/>
    </xf>
    <xf numFmtId="165" fontId="37" fillId="33" borderId="24" xfId="0" applyNumberFormat="1" applyFont="1" applyFill="1" applyBorder="1" applyAlignment="1" applyProtection="1">
      <alignment horizontal="left"/>
      <protection hidden="1"/>
    </xf>
    <xf numFmtId="0" fontId="19" fillId="39" borderId="28" xfId="0" applyFont="1" applyFill="1" applyBorder="1" applyAlignment="1" applyProtection="1">
      <alignment horizontal="centerContinuous"/>
      <protection hidden="1"/>
    </xf>
    <xf numFmtId="0" fontId="37" fillId="39" borderId="0" xfId="0" applyFont="1" applyFill="1" applyBorder="1" applyAlignment="1" applyProtection="1">
      <alignment horizontal="centerContinuous"/>
      <protection hidden="1"/>
    </xf>
    <xf numFmtId="0" fontId="37" fillId="39" borderId="24" xfId="0" applyFont="1" applyFill="1" applyBorder="1" applyAlignment="1" applyProtection="1">
      <alignment horizontal="centerContinuous"/>
      <protection hidden="1"/>
    </xf>
    <xf numFmtId="49" fontId="12" fillId="33" borderId="28" xfId="0" applyNumberFormat="1" applyFont="1" applyFill="1" applyBorder="1" applyAlignment="1" applyProtection="1">
      <alignment horizontal="left" indent="1"/>
      <protection hidden="1"/>
    </xf>
    <xf numFmtId="0" fontId="22" fillId="33" borderId="0" xfId="0" applyFont="1" applyFill="1" applyBorder="1" applyAlignment="1" applyProtection="1">
      <alignment horizontal="centerContinuous"/>
      <protection hidden="1"/>
    </xf>
    <xf numFmtId="0" fontId="0" fillId="43" borderId="84" xfId="0" applyFill="1" applyBorder="1" applyAlignment="1" applyProtection="1">
      <alignment horizontal="left" indent="1"/>
      <protection hidden="1"/>
    </xf>
    <xf numFmtId="0" fontId="9" fillId="43" borderId="10" xfId="0" applyFont="1" applyFill="1" applyBorder="1" applyAlignment="1" applyProtection="1">
      <alignment horizontal="center"/>
      <protection hidden="1"/>
    </xf>
    <xf numFmtId="165" fontId="34" fillId="39" borderId="10" xfId="0" applyNumberFormat="1" applyFont="1" applyFill="1" applyBorder="1" applyAlignment="1" applyProtection="1">
      <alignment horizontal="center"/>
      <protection hidden="1"/>
    </xf>
    <xf numFmtId="0" fontId="0" fillId="43" borderId="85" xfId="0" applyFill="1" applyBorder="1" applyAlignment="1" applyProtection="1">
      <alignment horizontal="left" indent="1"/>
      <protection hidden="1"/>
    </xf>
    <xf numFmtId="0" fontId="0" fillId="43" borderId="86" xfId="0" applyFill="1" applyBorder="1" applyAlignment="1" applyProtection="1">
      <alignment horizontal="left" indent="1"/>
      <protection hidden="1"/>
    </xf>
    <xf numFmtId="49" fontId="0" fillId="33" borderId="29" xfId="0" applyNumberFormat="1" applyFill="1" applyBorder="1" applyAlignment="1" applyProtection="1">
      <alignment horizontal="left" indent="1"/>
      <protection hidden="1"/>
    </xf>
    <xf numFmtId="0" fontId="0" fillId="43" borderId="87" xfId="0" applyFill="1" applyBorder="1" applyAlignment="1" applyProtection="1">
      <alignment horizontal="left" indent="1"/>
      <protection hidden="1"/>
    </xf>
    <xf numFmtId="0" fontId="9" fillId="43" borderId="88" xfId="0" applyFont="1" applyFill="1" applyBorder="1" applyAlignment="1" applyProtection="1">
      <alignment horizontal="center"/>
      <protection hidden="1"/>
    </xf>
    <xf numFmtId="165" fontId="34" fillId="39" borderId="88" xfId="0" applyNumberFormat="1" applyFont="1" applyFill="1" applyBorder="1" applyAlignment="1" applyProtection="1">
      <alignment horizontal="center"/>
      <protection hidden="1"/>
    </xf>
    <xf numFmtId="0" fontId="0" fillId="33" borderId="31" xfId="0" applyFill="1" applyBorder="1" applyAlignment="1" applyProtection="1">
      <alignment/>
      <protection hidden="1"/>
    </xf>
    <xf numFmtId="49" fontId="0" fillId="33" borderId="0" xfId="0" applyNumberFormat="1" applyFont="1" applyFill="1" applyAlignment="1" applyProtection="1">
      <alignment/>
      <protection hidden="1"/>
    </xf>
    <xf numFmtId="0" fontId="0" fillId="33" borderId="0" xfId="0" applyFont="1" applyFill="1" applyAlignment="1" applyProtection="1">
      <alignment/>
      <protection hidden="1"/>
    </xf>
    <xf numFmtId="14" fontId="0" fillId="33" borderId="0" xfId="0" applyNumberFormat="1" applyFont="1" applyFill="1" applyAlignment="1" applyProtection="1">
      <alignment/>
      <protection hidden="1"/>
    </xf>
    <xf numFmtId="49" fontId="6" fillId="34" borderId="0" xfId="0" applyNumberFormat="1" applyFont="1" applyFill="1" applyAlignment="1" applyProtection="1">
      <alignment/>
      <protection hidden="1"/>
    </xf>
    <xf numFmtId="49" fontId="0" fillId="0" borderId="0" xfId="0" applyNumberFormat="1" applyAlignment="1" applyProtection="1">
      <alignment/>
      <protection hidden="1"/>
    </xf>
    <xf numFmtId="0" fontId="9" fillId="0" borderId="11"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49" fontId="9" fillId="0" borderId="10" xfId="0" applyNumberFormat="1" applyFont="1" applyFill="1" applyBorder="1" applyAlignment="1">
      <alignment horizontal="center"/>
    </xf>
    <xf numFmtId="168" fontId="0" fillId="0" borderId="10" xfId="0" applyNumberFormat="1" applyFill="1" applyBorder="1" applyAlignment="1" applyProtection="1">
      <alignment/>
      <protection hidden="1"/>
    </xf>
    <xf numFmtId="3" fontId="0" fillId="0" borderId="10" xfId="0" applyNumberFormat="1" applyFill="1" applyBorder="1" applyAlignment="1" applyProtection="1">
      <alignment horizontal="center"/>
      <protection hidden="1"/>
    </xf>
    <xf numFmtId="167" fontId="0" fillId="0" borderId="10" xfId="0" applyNumberFormat="1" applyFill="1" applyBorder="1" applyAlignment="1" applyProtection="1">
      <alignment horizontal="center"/>
      <protection hidden="1"/>
    </xf>
    <xf numFmtId="0" fontId="0" fillId="0" borderId="10" xfId="0" applyBorder="1" applyAlignment="1" applyProtection="1">
      <alignment horizontal="left" wrapText="1" indent="1"/>
      <protection hidden="1"/>
    </xf>
    <xf numFmtId="164" fontId="3" fillId="0" borderId="10" xfId="0" applyNumberFormat="1" applyFont="1" applyFill="1" applyBorder="1" applyAlignment="1" applyProtection="1">
      <alignment/>
      <protection hidden="1"/>
    </xf>
    <xf numFmtId="3" fontId="3" fillId="0" borderId="10" xfId="0" applyNumberFormat="1" applyFont="1" applyBorder="1" applyAlignment="1" applyProtection="1">
      <alignment horizontal="right"/>
      <protection hidden="1"/>
    </xf>
    <xf numFmtId="3" fontId="0" fillId="0" borderId="10" xfId="0" applyNumberFormat="1" applyFont="1" applyBorder="1" applyAlignment="1" applyProtection="1">
      <alignment horizontal="right"/>
      <protection hidden="1"/>
    </xf>
    <xf numFmtId="167" fontId="3" fillId="0" borderId="10" xfId="0" applyNumberFormat="1" applyFont="1" applyBorder="1" applyAlignment="1" applyProtection="1">
      <alignment horizontal="right"/>
      <protection hidden="1"/>
    </xf>
    <xf numFmtId="3" fontId="9" fillId="43" borderId="10" xfId="0" applyNumberFormat="1" applyFont="1" applyFill="1" applyBorder="1" applyAlignment="1" applyProtection="1">
      <alignment/>
      <protection locked="0"/>
    </xf>
    <xf numFmtId="3" fontId="9" fillId="43" borderId="12" xfId="0" applyNumberFormat="1" applyFont="1" applyFill="1" applyBorder="1" applyAlignment="1" applyProtection="1">
      <alignment/>
      <protection locked="0"/>
    </xf>
    <xf numFmtId="3" fontId="0" fillId="43" borderId="17" xfId="0" applyNumberFormat="1" applyFill="1" applyBorder="1" applyAlignment="1" applyProtection="1">
      <alignment/>
      <protection locked="0"/>
    </xf>
    <xf numFmtId="3" fontId="0" fillId="43" borderId="11" xfId="0" applyNumberFormat="1" applyFill="1" applyBorder="1" applyAlignment="1" applyProtection="1">
      <alignment/>
      <protection locked="0"/>
    </xf>
    <xf numFmtId="3" fontId="0" fillId="43" borderId="12" xfId="0" applyNumberFormat="1" applyFill="1" applyBorder="1" applyAlignment="1" applyProtection="1">
      <alignment/>
      <protection locked="0"/>
    </xf>
    <xf numFmtId="3" fontId="9" fillId="43" borderId="17" xfId="0" applyNumberFormat="1" applyFont="1" applyFill="1" applyBorder="1" applyAlignment="1" applyProtection="1">
      <alignment horizontal="right"/>
      <protection locked="0"/>
    </xf>
    <xf numFmtId="3" fontId="9" fillId="43" borderId="11" xfId="0" applyNumberFormat="1" applyFont="1" applyFill="1" applyBorder="1" applyAlignment="1" applyProtection="1">
      <alignment horizontal="right"/>
      <protection locked="0"/>
    </xf>
    <xf numFmtId="3" fontId="9" fillId="43" borderId="12" xfId="0" applyNumberFormat="1" applyFont="1" applyFill="1" applyBorder="1" applyAlignment="1" applyProtection="1">
      <alignment horizontal="right"/>
      <protection locked="0"/>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3" fontId="9" fillId="0" borderId="10" xfId="0" applyNumberFormat="1" applyFont="1" applyBorder="1" applyAlignment="1">
      <alignment horizontal="right"/>
    </xf>
    <xf numFmtId="3" fontId="9" fillId="0" borderId="22" xfId="0" applyNumberFormat="1" applyFont="1" applyBorder="1" applyAlignment="1">
      <alignment horizontal="right"/>
    </xf>
    <xf numFmtId="3" fontId="0" fillId="0" borderId="10" xfId="0" applyNumberFormat="1" applyBorder="1" applyAlignment="1" applyProtection="1">
      <alignment/>
      <protection locked="0"/>
    </xf>
    <xf numFmtId="3" fontId="9" fillId="33" borderId="10" xfId="0" applyNumberFormat="1" applyFont="1" applyFill="1" applyBorder="1" applyAlignment="1">
      <alignment/>
    </xf>
    <xf numFmtId="0" fontId="9" fillId="33" borderId="10" xfId="0" applyFont="1" applyFill="1" applyBorder="1" applyAlignment="1">
      <alignment/>
    </xf>
    <xf numFmtId="3" fontId="9" fillId="0" borderId="12" xfId="0" applyNumberFormat="1" applyFont="1" applyFill="1" applyBorder="1" applyAlignment="1" applyProtection="1">
      <alignment/>
      <protection/>
    </xf>
    <xf numFmtId="3" fontId="9" fillId="0" borderId="10" xfId="0" applyNumberFormat="1" applyFont="1" applyFill="1" applyBorder="1" applyAlignment="1" applyProtection="1">
      <alignment/>
      <protection/>
    </xf>
    <xf numFmtId="3" fontId="9" fillId="33" borderId="12" xfId="0" applyNumberFormat="1" applyFont="1" applyFill="1" applyBorder="1" applyAlignment="1">
      <alignment/>
    </xf>
    <xf numFmtId="3" fontId="9" fillId="0" borderId="12" xfId="0" applyNumberFormat="1" applyFont="1" applyFill="1" applyBorder="1" applyAlignment="1">
      <alignment/>
    </xf>
    <xf numFmtId="3" fontId="9" fillId="0" borderId="10" xfId="0" applyNumberFormat="1" applyFont="1" applyFill="1" applyBorder="1" applyAlignment="1">
      <alignment/>
    </xf>
    <xf numFmtId="0" fontId="9" fillId="33" borderId="12" xfId="0" applyFont="1" applyFill="1" applyBorder="1" applyAlignment="1">
      <alignment/>
    </xf>
    <xf numFmtId="0" fontId="9" fillId="33" borderId="14" xfId="0" applyFont="1" applyFill="1" applyBorder="1" applyAlignment="1">
      <alignment/>
    </xf>
    <xf numFmtId="0" fontId="9" fillId="33" borderId="22" xfId="0" applyFont="1" applyFill="1" applyBorder="1" applyAlignment="1">
      <alignment/>
    </xf>
    <xf numFmtId="3" fontId="0" fillId="43" borderId="18" xfId="0" applyNumberFormat="1" applyFill="1" applyBorder="1" applyAlignment="1" applyProtection="1">
      <alignment horizontal="right"/>
      <protection locked="0"/>
    </xf>
    <xf numFmtId="3" fontId="0" fillId="43" borderId="13" xfId="0" applyNumberFormat="1" applyFill="1" applyBorder="1" applyAlignment="1" applyProtection="1">
      <alignment horizontal="right"/>
      <protection locked="0"/>
    </xf>
    <xf numFmtId="3" fontId="0" fillId="43" borderId="14" xfId="0" applyNumberFormat="1" applyFill="1" applyBorder="1" applyAlignment="1" applyProtection="1">
      <alignment horizontal="right"/>
      <protection locked="0"/>
    </xf>
    <xf numFmtId="3" fontId="0" fillId="43" borderId="17" xfId="0" applyNumberFormat="1" applyFill="1" applyBorder="1" applyAlignment="1" applyProtection="1">
      <alignment horizontal="right"/>
      <protection locked="0"/>
    </xf>
    <xf numFmtId="3" fontId="0" fillId="43" borderId="11" xfId="0" applyNumberFormat="1" applyFill="1" applyBorder="1" applyAlignment="1" applyProtection="1">
      <alignment horizontal="right"/>
      <protection locked="0"/>
    </xf>
    <xf numFmtId="3" fontId="0" fillId="43" borderId="12" xfId="0" applyNumberFormat="1" applyFill="1" applyBorder="1" applyAlignment="1" applyProtection="1">
      <alignment horizontal="right"/>
      <protection locked="0"/>
    </xf>
    <xf numFmtId="3" fontId="0" fillId="36" borderId="17" xfId="0" applyNumberFormat="1" applyFill="1" applyBorder="1" applyAlignment="1" applyProtection="1">
      <alignment horizontal="right"/>
      <protection/>
    </xf>
    <xf numFmtId="3" fontId="0" fillId="36" borderId="11" xfId="0" applyNumberFormat="1" applyFill="1" applyBorder="1" applyAlignment="1" applyProtection="1">
      <alignment horizontal="right"/>
      <protection/>
    </xf>
    <xf numFmtId="3" fontId="0" fillId="36" borderId="12" xfId="0" applyNumberFormat="1" applyFill="1" applyBorder="1" applyAlignment="1" applyProtection="1">
      <alignment horizontal="right"/>
      <protection/>
    </xf>
    <xf numFmtId="0" fontId="0" fillId="43" borderId="89" xfId="0" applyFill="1" applyBorder="1" applyAlignment="1" applyProtection="1">
      <alignment horizontal="center"/>
      <protection locked="0"/>
    </xf>
    <xf numFmtId="0" fontId="0" fillId="0" borderId="90" xfId="0" applyBorder="1" applyAlignment="1" applyProtection="1">
      <alignment horizontal="center"/>
      <protection locked="0"/>
    </xf>
    <xf numFmtId="0" fontId="0" fillId="0" borderId="91" xfId="0" applyBorder="1" applyAlignment="1" applyProtection="1">
      <alignment horizontal="center"/>
      <protection locked="0"/>
    </xf>
    <xf numFmtId="0" fontId="0" fillId="43" borderId="20" xfId="0" applyFill="1" applyBorder="1" applyAlignment="1" applyProtection="1">
      <alignment horizontal="center"/>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3" fontId="0" fillId="36" borderId="17" xfId="0" applyNumberFormat="1" applyFill="1" applyBorder="1" applyAlignment="1" applyProtection="1">
      <alignment/>
      <protection/>
    </xf>
    <xf numFmtId="3" fontId="0" fillId="36" borderId="11" xfId="0" applyNumberFormat="1" applyFill="1" applyBorder="1" applyAlignment="1" applyProtection="1">
      <alignment/>
      <protection/>
    </xf>
    <xf numFmtId="3" fontId="0" fillId="36" borderId="12" xfId="0" applyNumberFormat="1" applyFill="1" applyBorder="1" applyAlignment="1" applyProtection="1">
      <alignment/>
      <protection/>
    </xf>
    <xf numFmtId="49" fontId="0" fillId="43" borderId="92" xfId="0" applyNumberFormat="1" applyFill="1" applyBorder="1" applyAlignment="1" applyProtection="1">
      <alignment horizontal="center"/>
      <protection locked="0"/>
    </xf>
    <xf numFmtId="0" fontId="0" fillId="0" borderId="93" xfId="0" applyBorder="1" applyAlignment="1" applyProtection="1">
      <alignment/>
      <protection locked="0"/>
    </xf>
    <xf numFmtId="0" fontId="45" fillId="35" borderId="30" xfId="0" applyFont="1" applyFill="1" applyBorder="1" applyAlignment="1" applyProtection="1">
      <alignment horizontal="center"/>
      <protection locked="0"/>
    </xf>
    <xf numFmtId="0" fontId="29" fillId="35" borderId="30" xfId="0" applyFont="1" applyFill="1" applyBorder="1" applyAlignment="1">
      <alignment/>
    </xf>
    <xf numFmtId="14" fontId="9" fillId="43" borderId="92" xfId="0" applyNumberFormat="1" applyFont="1" applyFill="1" applyBorder="1" applyAlignment="1" applyProtection="1">
      <alignment horizontal="center"/>
      <protection locked="0"/>
    </xf>
    <xf numFmtId="14" fontId="0" fillId="0" borderId="94" xfId="0" applyNumberFormat="1" applyBorder="1" applyAlignment="1" applyProtection="1">
      <alignment/>
      <protection locked="0"/>
    </xf>
    <xf numFmtId="0" fontId="9" fillId="35" borderId="32" xfId="0" applyFont="1" applyFill="1" applyBorder="1" applyAlignment="1">
      <alignment horizontal="center"/>
    </xf>
    <xf numFmtId="0" fontId="0" fillId="35" borderId="32" xfId="0" applyFill="1" applyBorder="1" applyAlignment="1">
      <alignment/>
    </xf>
    <xf numFmtId="0" fontId="0" fillId="0" borderId="17" xfId="0" applyBorder="1" applyAlignment="1" applyProtection="1">
      <alignment horizontal="left" wrapText="1" indent="1"/>
      <protection hidden="1"/>
    </xf>
    <xf numFmtId="0" fontId="0" fillId="0" borderId="12" xfId="0" applyBorder="1" applyAlignment="1">
      <alignment horizontal="left" wrapText="1" indent="1"/>
    </xf>
    <xf numFmtId="0" fontId="22" fillId="33" borderId="15" xfId="0" applyFont="1" applyFill="1" applyBorder="1" applyAlignment="1" applyProtection="1">
      <alignment horizontal="center"/>
      <protection hidden="1"/>
    </xf>
    <xf numFmtId="0" fontId="0" fillId="0" borderId="18" xfId="0" applyBorder="1" applyAlignment="1" applyProtection="1">
      <alignment horizontal="left" indent="1"/>
      <protection hidden="1"/>
    </xf>
    <xf numFmtId="0" fontId="0" fillId="0" borderId="14" xfId="0" applyBorder="1" applyAlignment="1" applyProtection="1">
      <alignment horizontal="left" indent="1"/>
      <protection hidden="1"/>
    </xf>
    <xf numFmtId="0" fontId="0" fillId="0" borderId="17" xfId="0" applyBorder="1" applyAlignment="1" applyProtection="1">
      <alignment horizontal="left" indent="1"/>
      <protection hidden="1"/>
    </xf>
    <xf numFmtId="0" fontId="0" fillId="0" borderId="12" xfId="0" applyBorder="1" applyAlignment="1" applyProtection="1">
      <alignment horizontal="left" indent="1"/>
      <protection hidden="1"/>
    </xf>
    <xf numFmtId="49" fontId="0" fillId="33" borderId="28" xfId="0" applyNumberFormat="1" applyFill="1" applyBorder="1" applyAlignment="1" applyProtection="1">
      <alignment horizontal="left" wrapText="1"/>
      <protection hidden="1"/>
    </xf>
    <xf numFmtId="0" fontId="0" fillId="0" borderId="0" xfId="0" applyAlignment="1">
      <alignment wrapText="1"/>
    </xf>
    <xf numFmtId="0" fontId="0" fillId="0" borderId="24" xfId="0" applyBorder="1" applyAlignment="1">
      <alignment wrapText="1"/>
    </xf>
    <xf numFmtId="49" fontId="41" fillId="35" borderId="71" xfId="0" applyNumberFormat="1" applyFont="1" applyFill="1" applyBorder="1" applyAlignment="1" applyProtection="1">
      <alignment horizontal="center"/>
      <protection hidden="1"/>
    </xf>
    <xf numFmtId="0" fontId="0" fillId="0" borderId="11" xfId="0" applyBorder="1" applyAlignment="1">
      <alignment horizontal="center"/>
    </xf>
    <xf numFmtId="0" fontId="0" fillId="0" borderId="72" xfId="0"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13"/>
      </font>
      <fill>
        <patternFill>
          <bgColor indexed="10"/>
        </patternFill>
      </fill>
    </dxf>
    <dxf>
      <font>
        <color rgb="FFFFFF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Cyr"/>
                <a:ea typeface="Arial Cyr"/>
                <a:cs typeface="Arial Cyr"/>
              </a:rPr>
              <a:t>Структура затрат</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3325"/>
          <c:y val="0.2785"/>
          <c:w val="0.53075"/>
          <c:h val="0.627"/>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val>
            <c:numRef>
              <c:f>ОценКоэф!$E$144:$E$147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Arial Cyr"/>
          <a:ea typeface="Arial Cyr"/>
          <a:cs typeface="Arial Cyr"/>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25</xdr:col>
      <xdr:colOff>0</xdr:colOff>
      <xdr:row>7</xdr:row>
      <xdr:rowOff>0</xdr:rowOff>
    </xdr:to>
    <xdr:sp>
      <xdr:nvSpPr>
        <xdr:cNvPr id="1" name="Rectangle 5"/>
        <xdr:cNvSpPr>
          <a:spLocks/>
        </xdr:cNvSpPr>
      </xdr:nvSpPr>
      <xdr:spPr>
        <a:xfrm>
          <a:off x="314325" y="152400"/>
          <a:ext cx="6677025" cy="98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0.347</cdr:y>
    </cdr:from>
    <cdr:to>
      <cdr:x>0.41375</cdr:x>
      <cdr:y>0.434</cdr:y>
    </cdr:to>
    <cdr:sp>
      <cdr:nvSpPr>
        <cdr:cNvPr id="1" name="Text Box 1"/>
        <cdr:cNvSpPr txBox="1">
          <a:spLocks noChangeArrowheads="1"/>
        </cdr:cNvSpPr>
      </cdr:nvSpPr>
      <cdr:spPr>
        <a:xfrm>
          <a:off x="1933575" y="685800"/>
          <a:ext cx="800100" cy="17145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Cyr"/>
              <a:ea typeface="Arial Cyr"/>
              <a:cs typeface="Arial Cyr"/>
            </a:rPr>
            <a:t>Материалы</a:t>
          </a:r>
        </a:p>
      </cdr:txBody>
    </cdr:sp>
  </cdr:relSizeAnchor>
  <cdr:relSizeAnchor xmlns:cdr="http://schemas.openxmlformats.org/drawingml/2006/chartDrawing">
    <cdr:from>
      <cdr:x>0.5545</cdr:x>
      <cdr:y>0.411</cdr:y>
    </cdr:from>
    <cdr:to>
      <cdr:x>0.7015</cdr:x>
      <cdr:y>0.52225</cdr:y>
    </cdr:to>
    <cdr:sp>
      <cdr:nvSpPr>
        <cdr:cNvPr id="2" name="Text Box 2"/>
        <cdr:cNvSpPr txBox="1">
          <a:spLocks noChangeArrowheads="1"/>
        </cdr:cNvSpPr>
      </cdr:nvSpPr>
      <cdr:spPr>
        <a:xfrm>
          <a:off x="3667125" y="819150"/>
          <a:ext cx="971550" cy="219075"/>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Cyr"/>
              <a:ea typeface="Arial Cyr"/>
              <a:cs typeface="Arial Cyr"/>
            </a:rPr>
            <a:t>Оплата труда</a:t>
          </a:r>
        </a:p>
      </cdr:txBody>
    </cdr:sp>
  </cdr:relSizeAnchor>
  <cdr:relSizeAnchor xmlns:cdr="http://schemas.openxmlformats.org/drawingml/2006/chartDrawing">
    <cdr:from>
      <cdr:x>0.30325</cdr:x>
      <cdr:y>0.158</cdr:y>
    </cdr:from>
    <cdr:to>
      <cdr:x>0.44075</cdr:x>
      <cdr:y>0.233</cdr:y>
    </cdr:to>
    <cdr:sp>
      <cdr:nvSpPr>
        <cdr:cNvPr id="3" name="Text Box 3"/>
        <cdr:cNvSpPr txBox="1">
          <a:spLocks noChangeArrowheads="1"/>
        </cdr:cNvSpPr>
      </cdr:nvSpPr>
      <cdr:spPr>
        <a:xfrm>
          <a:off x="2000250" y="314325"/>
          <a:ext cx="914400" cy="15240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Cyr"/>
              <a:ea typeface="Arial Cyr"/>
              <a:cs typeface="Arial Cyr"/>
            </a:rPr>
            <a:t>Амортизация</a:t>
          </a:r>
        </a:p>
      </cdr:txBody>
    </cdr:sp>
  </cdr:relSizeAnchor>
  <cdr:relSizeAnchor xmlns:cdr="http://schemas.openxmlformats.org/drawingml/2006/chartDrawing">
    <cdr:from>
      <cdr:x>0.451</cdr:x>
      <cdr:y>0.1475</cdr:y>
    </cdr:from>
    <cdr:to>
      <cdr:x>0.56775</cdr:x>
      <cdr:y>0.2325</cdr:y>
    </cdr:to>
    <cdr:sp>
      <cdr:nvSpPr>
        <cdr:cNvPr id="4" name="Text Box 4"/>
        <cdr:cNvSpPr txBox="1">
          <a:spLocks noChangeArrowheads="1"/>
        </cdr:cNvSpPr>
      </cdr:nvSpPr>
      <cdr:spPr>
        <a:xfrm>
          <a:off x="2981325" y="285750"/>
          <a:ext cx="7715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Cyr"/>
              <a:ea typeface="Arial Cyr"/>
              <a:cs typeface="Arial Cyr"/>
            </a:rPr>
            <a:t>Прочие
</a:t>
          </a:r>
          <a:r>
            <a:rPr lang="en-US" cap="none" sz="800" b="0" i="0" u="none" baseline="0">
              <a:solidFill>
                <a:srgbClr val="000000"/>
              </a:solidFill>
              <a:latin typeface="Arial Cyr"/>
              <a:ea typeface="Arial Cyr"/>
              <a:cs typeface="Arial Cyr"/>
            </a:rPr>
            <a:t>Прочие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148</xdr:row>
      <xdr:rowOff>47625</xdr:rowOff>
    </xdr:from>
    <xdr:to>
      <xdr:col>5</xdr:col>
      <xdr:colOff>428625</xdr:colOff>
      <xdr:row>161</xdr:row>
      <xdr:rowOff>66675</xdr:rowOff>
    </xdr:to>
    <xdr:graphicFrame>
      <xdr:nvGraphicFramePr>
        <xdr:cNvPr id="1" name="Chart 3"/>
        <xdr:cNvGraphicFramePr/>
      </xdr:nvGraphicFramePr>
      <xdr:xfrm>
        <a:off x="923925" y="26974800"/>
        <a:ext cx="6619875" cy="2000250"/>
      </xdr:xfrm>
      <a:graphic>
        <a:graphicData uri="http://schemas.openxmlformats.org/drawingml/2006/chart">
          <c:chart xmlns:c="http://schemas.openxmlformats.org/drawingml/2006/chart" r:id="rId1"/>
        </a:graphicData>
      </a:graphic>
    </xdr:graphicFrame>
    <xdr:clientData/>
  </xdr:twoCellAnchor>
  <xdr:twoCellAnchor>
    <xdr:from>
      <xdr:col>2</xdr:col>
      <xdr:colOff>4314825</xdr:colOff>
      <xdr:row>185</xdr:row>
      <xdr:rowOff>28575</xdr:rowOff>
    </xdr:from>
    <xdr:to>
      <xdr:col>3</xdr:col>
      <xdr:colOff>561975</xdr:colOff>
      <xdr:row>185</xdr:row>
      <xdr:rowOff>180975</xdr:rowOff>
    </xdr:to>
    <xdr:sp>
      <xdr:nvSpPr>
        <xdr:cNvPr id="2" name="AutoShape 4"/>
        <xdr:cNvSpPr>
          <a:spLocks/>
        </xdr:cNvSpPr>
      </xdr:nvSpPr>
      <xdr:spPr>
        <a:xfrm>
          <a:off x="5229225" y="32546925"/>
          <a:ext cx="895350" cy="152400"/>
        </a:xfrm>
        <a:prstGeom prst="rightArrow">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0</xdr:colOff>
      <xdr:row>185</xdr:row>
      <xdr:rowOff>0</xdr:rowOff>
    </xdr:from>
    <xdr:to>
      <xdr:col>5</xdr:col>
      <xdr:colOff>0</xdr:colOff>
      <xdr:row>186</xdr:row>
      <xdr:rowOff>0</xdr:rowOff>
    </xdr:to>
    <xdr:sp>
      <xdr:nvSpPr>
        <xdr:cNvPr id="3" name="Rectangle 5"/>
        <xdr:cNvSpPr>
          <a:spLocks/>
        </xdr:cNvSpPr>
      </xdr:nvSpPr>
      <xdr:spPr>
        <a:xfrm>
          <a:off x="6353175" y="32518350"/>
          <a:ext cx="76200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G234"/>
  <sheetViews>
    <sheetView showGridLines="0" showZeros="0" tabSelected="1" defaultGridColor="0" zoomScalePageLayoutView="0" colorId="18" workbookViewId="0" topLeftCell="A1">
      <selection activeCell="U22" sqref="U17:X22"/>
    </sheetView>
  </sheetViews>
  <sheetFormatPr defaultColWidth="3.375" defaultRowHeight="12"/>
  <cols>
    <col min="1" max="1" width="3.375" style="31" customWidth="1"/>
    <col min="2" max="2" width="0.74609375" style="31" customWidth="1"/>
    <col min="3" max="13" width="4.00390625" style="31" customWidth="1"/>
    <col min="14" max="15" width="4.375" style="31" customWidth="1"/>
    <col min="16" max="16" width="4.00390625" style="0" customWidth="1"/>
    <col min="17" max="17" width="3.875" style="0" customWidth="1"/>
    <col min="18" max="18" width="3.375" style="0" customWidth="1"/>
    <col min="19" max="19" width="3.375" style="31" customWidth="1"/>
    <col min="20" max="20" width="3.375" style="0" customWidth="1"/>
    <col min="21" max="25" width="3.375" style="31" customWidth="1"/>
    <col min="26" max="26" width="0.74609375" style="31" customWidth="1"/>
    <col min="27" max="16384" width="3.375" style="31" customWidth="1"/>
  </cols>
  <sheetData>
    <row r="1" spans="1:59" ht="12" thickBo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row>
    <row r="2" spans="1:59" ht="12.75" thickTop="1">
      <c r="A2" s="80"/>
      <c r="B2" s="80"/>
      <c r="C2" s="97"/>
      <c r="D2" s="98"/>
      <c r="E2" s="99"/>
      <c r="F2" s="100"/>
      <c r="G2" s="100"/>
      <c r="H2" s="100"/>
      <c r="I2" s="100"/>
      <c r="J2" s="100"/>
      <c r="K2" s="100"/>
      <c r="L2" s="100"/>
      <c r="M2" s="100"/>
      <c r="N2" s="100"/>
      <c r="O2" s="100"/>
      <c r="P2" s="100"/>
      <c r="Q2" s="100"/>
      <c r="R2" s="100"/>
      <c r="S2" s="100"/>
      <c r="T2" s="100"/>
      <c r="U2" s="100"/>
      <c r="V2" s="100"/>
      <c r="W2" s="100"/>
      <c r="X2" s="100"/>
      <c r="Y2" s="101"/>
      <c r="Z2" s="80"/>
      <c r="AA2" s="80"/>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ht="15.75">
      <c r="A3" s="80"/>
      <c r="B3" s="80"/>
      <c r="C3" s="102" t="s">
        <v>126</v>
      </c>
      <c r="D3" s="103"/>
      <c r="E3" s="104"/>
      <c r="F3" s="105"/>
      <c r="G3" s="105"/>
      <c r="H3" s="105"/>
      <c r="I3" s="105"/>
      <c r="J3" s="27"/>
      <c r="K3" s="27"/>
      <c r="L3" s="27"/>
      <c r="M3" s="27"/>
      <c r="N3" s="27"/>
      <c r="O3" s="27"/>
      <c r="P3" s="27"/>
      <c r="Q3" s="27"/>
      <c r="R3" s="27"/>
      <c r="S3" s="27"/>
      <c r="T3" s="27"/>
      <c r="U3" s="27"/>
      <c r="V3" s="27"/>
      <c r="W3" s="27"/>
      <c r="X3" s="27"/>
      <c r="Y3" s="106"/>
      <c r="Z3" s="80"/>
      <c r="AA3" s="80"/>
      <c r="AB3" s="2"/>
      <c r="AC3" s="2"/>
      <c r="AD3" s="2"/>
      <c r="AE3" s="2"/>
      <c r="AF3" s="2"/>
      <c r="AG3" s="2"/>
      <c r="AH3" s="2"/>
      <c r="AI3" s="2"/>
      <c r="AJ3" s="2"/>
      <c r="AK3" s="2"/>
      <c r="AL3" s="2"/>
      <c r="AM3" s="2"/>
      <c r="AN3" s="2"/>
      <c r="AO3" s="141" t="str">
        <f>CONCATENATE("31.03.",$J$13)</f>
        <v>31.03.2010</v>
      </c>
      <c r="AP3" s="142"/>
      <c r="AQ3" s="142"/>
      <c r="AR3" s="140" t="s">
        <v>460</v>
      </c>
      <c r="AS3" s="139"/>
      <c r="AT3" s="139"/>
      <c r="AU3" s="139"/>
      <c r="AV3" s="140"/>
      <c r="AW3" s="139"/>
      <c r="AX3" s="139"/>
      <c r="AY3" s="2"/>
      <c r="AZ3" s="2"/>
      <c r="BA3" s="2"/>
      <c r="BB3" s="2"/>
      <c r="BC3" s="2"/>
      <c r="BD3" s="2"/>
      <c r="BE3" s="2"/>
      <c r="BF3" s="2"/>
      <c r="BG3" s="2"/>
    </row>
    <row r="4" spans="1:59" ht="12">
      <c r="A4" s="80"/>
      <c r="B4" s="80"/>
      <c r="C4" s="180" t="s">
        <v>127</v>
      </c>
      <c r="D4" s="107"/>
      <c r="E4" s="108"/>
      <c r="F4" s="109"/>
      <c r="G4" s="109"/>
      <c r="H4" s="109"/>
      <c r="I4" s="109"/>
      <c r="J4" s="109"/>
      <c r="K4" s="109"/>
      <c r="L4" s="109"/>
      <c r="M4" s="109"/>
      <c r="N4" s="109"/>
      <c r="O4" s="109"/>
      <c r="P4" s="109"/>
      <c r="Q4" s="109"/>
      <c r="R4" s="109"/>
      <c r="S4" s="109"/>
      <c r="T4" s="109"/>
      <c r="U4" s="109"/>
      <c r="V4" s="109"/>
      <c r="W4" s="109"/>
      <c r="X4" s="109"/>
      <c r="Y4" s="92"/>
      <c r="Z4" s="80"/>
      <c r="AA4" s="80"/>
      <c r="AB4" s="2"/>
      <c r="AC4" s="2"/>
      <c r="AD4" s="2"/>
      <c r="AE4" s="2"/>
      <c r="AF4" s="2"/>
      <c r="AG4" s="2"/>
      <c r="AH4" s="2"/>
      <c r="AI4" s="2"/>
      <c r="AJ4" s="2"/>
      <c r="AK4" s="2"/>
      <c r="AL4" s="2"/>
      <c r="AM4" s="2"/>
      <c r="AN4" s="2"/>
      <c r="AO4" s="141" t="str">
        <f>CONCATENATE("30.06.",$J$13)</f>
        <v>30.06.2010</v>
      </c>
      <c r="AP4" s="142"/>
      <c r="AQ4" s="142"/>
      <c r="AR4" s="140" t="s">
        <v>92</v>
      </c>
      <c r="AS4" s="139"/>
      <c r="AT4" s="139"/>
      <c r="AU4" s="139"/>
      <c r="AV4" s="140"/>
      <c r="AW4" s="139"/>
      <c r="AX4" s="139"/>
      <c r="AY4" s="2"/>
      <c r="AZ4" s="2"/>
      <c r="BA4" s="2"/>
      <c r="BB4" s="2"/>
      <c r="BC4" s="2"/>
      <c r="BD4" s="2"/>
      <c r="BE4" s="2"/>
      <c r="BF4" s="2"/>
      <c r="BG4" s="2"/>
    </row>
    <row r="5" spans="1:59" ht="12">
      <c r="A5" s="80"/>
      <c r="B5" s="80"/>
      <c r="C5" s="179" t="s">
        <v>176</v>
      </c>
      <c r="D5" s="107"/>
      <c r="E5" s="108"/>
      <c r="F5" s="109"/>
      <c r="G5" s="109"/>
      <c r="H5" s="109"/>
      <c r="I5" s="109"/>
      <c r="J5" s="109"/>
      <c r="K5" s="109"/>
      <c r="L5" s="109"/>
      <c r="M5" s="109"/>
      <c r="N5" s="109"/>
      <c r="O5" s="109"/>
      <c r="P5" s="109"/>
      <c r="Q5" s="109"/>
      <c r="R5" s="109"/>
      <c r="S5" s="109"/>
      <c r="T5" s="109"/>
      <c r="U5" s="109"/>
      <c r="V5" s="109"/>
      <c r="W5" s="109"/>
      <c r="X5" s="109"/>
      <c r="Y5" s="92"/>
      <c r="Z5" s="80"/>
      <c r="AA5" s="80"/>
      <c r="AB5" s="2"/>
      <c r="AC5" s="2"/>
      <c r="AD5" s="2"/>
      <c r="AE5" s="2"/>
      <c r="AF5" s="2"/>
      <c r="AG5" s="2"/>
      <c r="AH5" s="2"/>
      <c r="AI5" s="2"/>
      <c r="AJ5" s="2"/>
      <c r="AK5" s="2"/>
      <c r="AL5" s="2"/>
      <c r="AM5" s="2"/>
      <c r="AN5" s="2"/>
      <c r="AO5" s="141" t="str">
        <f>CONCATENATE("30.09.",$J$13)</f>
        <v>30.09.2010</v>
      </c>
      <c r="AP5" s="142"/>
      <c r="AQ5" s="142"/>
      <c r="AR5" s="140" t="s">
        <v>461</v>
      </c>
      <c r="AS5" s="139"/>
      <c r="AT5" s="139"/>
      <c r="AU5" s="139"/>
      <c r="AV5" s="140"/>
      <c r="AW5" s="139"/>
      <c r="AX5" s="139"/>
      <c r="AY5" s="2"/>
      <c r="AZ5" s="2"/>
      <c r="BA5" s="2"/>
      <c r="BB5" s="2"/>
      <c r="BC5" s="2"/>
      <c r="BD5" s="2"/>
      <c r="BE5" s="2"/>
      <c r="BF5" s="2"/>
      <c r="BG5" s="2"/>
    </row>
    <row r="6" spans="1:59" ht="12">
      <c r="A6" s="80"/>
      <c r="B6" s="80"/>
      <c r="C6" s="181" t="s">
        <v>177</v>
      </c>
      <c r="D6" s="119"/>
      <c r="E6" s="108"/>
      <c r="F6" s="109"/>
      <c r="G6" s="109"/>
      <c r="H6" s="109"/>
      <c r="I6" s="109"/>
      <c r="J6" s="109"/>
      <c r="K6" s="109"/>
      <c r="L6" s="109"/>
      <c r="M6" s="109"/>
      <c r="N6" s="109"/>
      <c r="O6" s="109"/>
      <c r="P6" s="109"/>
      <c r="Q6" s="109"/>
      <c r="R6" s="109"/>
      <c r="S6" s="109"/>
      <c r="T6" s="109"/>
      <c r="U6" s="109"/>
      <c r="V6" s="109"/>
      <c r="W6" s="109"/>
      <c r="X6" s="109"/>
      <c r="Y6" s="92"/>
      <c r="Z6" s="80"/>
      <c r="AA6" s="80"/>
      <c r="AB6" s="2"/>
      <c r="AC6" s="2"/>
      <c r="AD6" s="2"/>
      <c r="AE6" s="2"/>
      <c r="AF6" s="2"/>
      <c r="AG6" s="2"/>
      <c r="AH6" s="2"/>
      <c r="AI6" s="2"/>
      <c r="AJ6" s="2"/>
      <c r="AK6" s="2"/>
      <c r="AL6" s="2"/>
      <c r="AM6" s="2"/>
      <c r="AN6" s="2"/>
      <c r="AO6" s="141" t="str">
        <f>CONCATENATE("31.12.",$J$13)</f>
        <v>31.12.2010</v>
      </c>
      <c r="AP6" s="142"/>
      <c r="AQ6" s="142"/>
      <c r="AR6" s="140" t="s">
        <v>462</v>
      </c>
      <c r="AS6" s="139"/>
      <c r="AT6" s="139"/>
      <c r="AU6" s="139"/>
      <c r="AV6" s="140"/>
      <c r="AW6" s="139"/>
      <c r="AX6" s="139"/>
      <c r="AY6" s="2"/>
      <c r="AZ6" s="2"/>
      <c r="BA6" s="2"/>
      <c r="BB6" s="2"/>
      <c r="BC6" s="2"/>
      <c r="BD6" s="2"/>
      <c r="BE6" s="2"/>
      <c r="BF6" s="2"/>
      <c r="BG6" s="2"/>
    </row>
    <row r="7" spans="1:59" ht="12.75" thickBot="1">
      <c r="A7" s="80"/>
      <c r="B7" s="80"/>
      <c r="C7" s="110"/>
      <c r="D7" s="111"/>
      <c r="E7" s="112"/>
      <c r="F7" s="113"/>
      <c r="G7" s="113"/>
      <c r="H7" s="113"/>
      <c r="I7" s="113"/>
      <c r="J7" s="113"/>
      <c r="K7" s="113"/>
      <c r="L7" s="113"/>
      <c r="M7" s="113"/>
      <c r="N7" s="113"/>
      <c r="O7" s="113"/>
      <c r="P7" s="113"/>
      <c r="Q7" s="113"/>
      <c r="R7" s="113"/>
      <c r="S7" s="113"/>
      <c r="T7" s="113"/>
      <c r="U7" s="113"/>
      <c r="V7" s="113"/>
      <c r="W7" s="113"/>
      <c r="X7" s="113"/>
      <c r="Y7" s="114"/>
      <c r="Z7" s="80"/>
      <c r="AA7" s="80"/>
      <c r="AB7" s="2"/>
      <c r="AC7" s="2"/>
      <c r="AD7" s="2"/>
      <c r="AE7" s="2"/>
      <c r="AF7" s="2"/>
      <c r="AG7" s="2"/>
      <c r="AH7" s="2"/>
      <c r="AI7" s="2"/>
      <c r="AJ7" s="2"/>
      <c r="AK7" s="2"/>
      <c r="AL7" s="2"/>
      <c r="AM7" s="2"/>
      <c r="AN7" s="2"/>
      <c r="AO7" s="141"/>
      <c r="AP7" s="142"/>
      <c r="AQ7" s="142"/>
      <c r="AR7" s="140" t="s">
        <v>92</v>
      </c>
      <c r="AS7" s="139"/>
      <c r="AT7" s="139"/>
      <c r="AU7" s="139"/>
      <c r="AV7" s="140"/>
      <c r="AW7" s="139"/>
      <c r="AX7" s="139"/>
      <c r="AY7" s="2"/>
      <c r="AZ7" s="2"/>
      <c r="BA7" s="2"/>
      <c r="BB7" s="2"/>
      <c r="BC7" s="2"/>
      <c r="BD7" s="2"/>
      <c r="BE7" s="2"/>
      <c r="BF7" s="2"/>
      <c r="BG7" s="2"/>
    </row>
    <row r="8" spans="1:59" ht="13.5" thickBot="1" thickTop="1">
      <c r="A8" s="80"/>
      <c r="B8" s="80"/>
      <c r="C8" s="120"/>
      <c r="D8" s="26"/>
      <c r="E8" s="121"/>
      <c r="F8" s="5"/>
      <c r="G8" s="5"/>
      <c r="H8" s="5"/>
      <c r="I8" s="5"/>
      <c r="J8" s="5"/>
      <c r="K8" s="5"/>
      <c r="L8" s="5"/>
      <c r="M8" s="5"/>
      <c r="N8" s="5"/>
      <c r="O8" s="5"/>
      <c r="P8" s="5"/>
      <c r="Q8" s="5"/>
      <c r="R8" s="5"/>
      <c r="S8" s="5"/>
      <c r="T8" s="5"/>
      <c r="U8" s="5"/>
      <c r="V8" s="5"/>
      <c r="W8" s="5"/>
      <c r="X8" s="5"/>
      <c r="Y8" s="5"/>
      <c r="Z8" s="80"/>
      <c r="AA8" s="80"/>
      <c r="AB8" s="2"/>
      <c r="AC8" s="2"/>
      <c r="AD8" s="2"/>
      <c r="AE8" s="2"/>
      <c r="AF8" s="2"/>
      <c r="AG8" s="2"/>
      <c r="AH8" s="2"/>
      <c r="AI8" s="2"/>
      <c r="AJ8" s="2"/>
      <c r="AK8" s="2"/>
      <c r="AL8" s="2"/>
      <c r="AM8" s="2"/>
      <c r="AN8" s="2"/>
      <c r="AO8" s="141" t="s">
        <v>372</v>
      </c>
      <c r="AP8" s="142"/>
      <c r="AQ8" s="142"/>
      <c r="AR8" s="140" t="s">
        <v>463</v>
      </c>
      <c r="AS8" s="139"/>
      <c r="AT8" s="139"/>
      <c r="AU8" s="139"/>
      <c r="AV8" s="140"/>
      <c r="AW8" s="139"/>
      <c r="AX8" s="139"/>
      <c r="AY8" s="2"/>
      <c r="AZ8" s="2"/>
      <c r="BA8" s="2"/>
      <c r="BB8" s="2"/>
      <c r="BC8" s="2"/>
      <c r="BD8" s="2"/>
      <c r="BE8" s="2"/>
      <c r="BF8" s="2"/>
      <c r="BG8" s="2"/>
    </row>
    <row r="9" spans="1:59" ht="12.75" thickTop="1">
      <c r="A9" s="2"/>
      <c r="B9" s="45"/>
      <c r="C9" s="131" t="s">
        <v>442</v>
      </c>
      <c r="D9" s="132"/>
      <c r="E9" s="132"/>
      <c r="F9" s="132"/>
      <c r="G9" s="132"/>
      <c r="H9" s="132"/>
      <c r="I9" s="132"/>
      <c r="J9" s="132"/>
      <c r="K9" s="132"/>
      <c r="L9" s="132"/>
      <c r="M9" s="132"/>
      <c r="N9" s="132"/>
      <c r="O9" s="132"/>
      <c r="P9" s="132"/>
      <c r="Q9" s="132"/>
      <c r="R9" s="132"/>
      <c r="S9" s="132"/>
      <c r="T9" s="132"/>
      <c r="U9" s="132"/>
      <c r="V9" s="132"/>
      <c r="W9" s="132"/>
      <c r="X9" s="132"/>
      <c r="Y9" s="133"/>
      <c r="Z9" s="2"/>
      <c r="AA9" s="2"/>
      <c r="AB9" s="2"/>
      <c r="AC9" s="2"/>
      <c r="AD9" s="2"/>
      <c r="AE9" s="2"/>
      <c r="AF9" s="2"/>
      <c r="AG9" s="2"/>
      <c r="AH9" s="2"/>
      <c r="AI9" s="2"/>
      <c r="AJ9" s="2"/>
      <c r="AK9" s="2"/>
      <c r="AL9" s="2"/>
      <c r="AM9" s="2"/>
      <c r="AN9" s="2"/>
      <c r="AO9" s="45"/>
      <c r="AP9" s="45"/>
      <c r="AQ9" s="45"/>
      <c r="AR9" s="45"/>
      <c r="AS9" s="45"/>
      <c r="AT9" s="45"/>
      <c r="AU9" s="45"/>
      <c r="AV9" s="45"/>
      <c r="AW9" s="45"/>
      <c r="AX9" s="45"/>
      <c r="AY9" s="2"/>
      <c r="AZ9" s="2"/>
      <c r="BA9" s="2"/>
      <c r="BB9" s="2"/>
      <c r="BC9" s="2"/>
      <c r="BD9" s="2"/>
      <c r="BE9" s="2"/>
      <c r="BF9" s="2"/>
      <c r="BG9" s="2"/>
    </row>
    <row r="10" spans="1:59" ht="12">
      <c r="A10" s="2"/>
      <c r="B10" s="45"/>
      <c r="C10" s="137" t="s">
        <v>438</v>
      </c>
      <c r="D10" s="128"/>
      <c r="E10" s="128"/>
      <c r="F10" s="116"/>
      <c r="G10" s="116"/>
      <c r="H10" s="116"/>
      <c r="I10" s="116"/>
      <c r="J10" s="116"/>
      <c r="K10" s="498" t="s">
        <v>37</v>
      </c>
      <c r="L10" s="499"/>
      <c r="M10" s="499"/>
      <c r="N10" s="499"/>
      <c r="O10" s="499"/>
      <c r="P10" s="499"/>
      <c r="Q10" s="499"/>
      <c r="R10" s="499"/>
      <c r="S10" s="499"/>
      <c r="T10" s="499"/>
      <c r="U10" s="499"/>
      <c r="V10" s="499"/>
      <c r="W10" s="500"/>
      <c r="X10" s="129"/>
      <c r="Y10" s="130"/>
      <c r="Z10" s="2"/>
      <c r="AA10" s="2"/>
      <c r="AB10" s="2"/>
      <c r="AC10" s="2"/>
      <c r="AD10" s="2"/>
      <c r="AE10" s="2"/>
      <c r="AF10" s="2"/>
      <c r="AG10" s="2"/>
      <c r="AH10" s="2"/>
      <c r="AI10" s="2"/>
      <c r="AJ10" s="2"/>
      <c r="AK10" s="2"/>
      <c r="AL10" s="2"/>
      <c r="AM10" s="2"/>
      <c r="AN10" s="2"/>
      <c r="AO10" s="2"/>
      <c r="AP10" s="2"/>
      <c r="AQ10" s="45"/>
      <c r="AR10" s="45"/>
      <c r="AS10" s="45"/>
      <c r="AT10" s="45"/>
      <c r="AU10" s="45"/>
      <c r="AV10" s="45"/>
      <c r="AW10" s="45"/>
      <c r="AX10" s="45"/>
      <c r="AY10" s="45"/>
      <c r="AZ10" s="2"/>
      <c r="BA10" s="2"/>
      <c r="BB10" s="2"/>
      <c r="BC10" s="2"/>
      <c r="BD10" s="2"/>
      <c r="BE10" s="2"/>
      <c r="BF10" s="2"/>
      <c r="BG10" s="2"/>
    </row>
    <row r="11" spans="1:59" ht="12">
      <c r="A11" s="2"/>
      <c r="B11" s="45"/>
      <c r="C11" s="137" t="s">
        <v>440</v>
      </c>
      <c r="D11" s="115"/>
      <c r="E11" s="115"/>
      <c r="F11" s="116"/>
      <c r="G11" s="116"/>
      <c r="H11" s="116"/>
      <c r="I11" s="116"/>
      <c r="J11" s="116"/>
      <c r="K11" s="117"/>
      <c r="L11" s="117"/>
      <c r="M11" s="118"/>
      <c r="N11" s="495" t="s">
        <v>280</v>
      </c>
      <c r="O11" s="496"/>
      <c r="P11" s="496"/>
      <c r="Q11" s="496"/>
      <c r="R11" s="496"/>
      <c r="S11" s="496"/>
      <c r="T11" s="496"/>
      <c r="U11" s="496"/>
      <c r="V11" s="496"/>
      <c r="W11" s="497"/>
      <c r="X11" s="109"/>
      <c r="Y11" s="92"/>
      <c r="Z11" s="2"/>
      <c r="AA11" s="2"/>
      <c r="AB11" s="2"/>
      <c r="AC11" s="2"/>
      <c r="AD11" s="2"/>
      <c r="AE11" s="2"/>
      <c r="AF11" s="2"/>
      <c r="AG11" s="2"/>
      <c r="AH11" s="2"/>
      <c r="AI11" s="2"/>
      <c r="AJ11" s="2"/>
      <c r="AK11" s="2"/>
      <c r="AL11" s="2"/>
      <c r="AM11" s="2"/>
      <c r="AN11" s="2"/>
      <c r="AO11" s="2"/>
      <c r="AP11" s="2"/>
      <c r="AQ11" s="45"/>
      <c r="AR11" s="45"/>
      <c r="AS11" s="45"/>
      <c r="AT11" s="45"/>
      <c r="AU11" s="45"/>
      <c r="AV11" s="45"/>
      <c r="AW11" s="45"/>
      <c r="AX11" s="45"/>
      <c r="AY11" s="45"/>
      <c r="AZ11" s="2"/>
      <c r="BA11" s="2"/>
      <c r="BB11" s="2"/>
      <c r="BC11" s="2"/>
      <c r="BD11" s="2"/>
      <c r="BE11" s="2"/>
      <c r="BF11" s="2"/>
      <c r="BG11" s="2"/>
    </row>
    <row r="12" spans="1:59" ht="12">
      <c r="A12" s="2"/>
      <c r="B12" s="45"/>
      <c r="C12" s="137" t="s">
        <v>439</v>
      </c>
      <c r="D12" s="115"/>
      <c r="E12" s="115"/>
      <c r="F12" s="116"/>
      <c r="G12" s="116"/>
      <c r="H12" s="116"/>
      <c r="I12" s="116"/>
      <c r="J12" s="116"/>
      <c r="K12" s="116"/>
      <c r="L12" s="116"/>
      <c r="M12" s="109"/>
      <c r="N12" s="498" t="s">
        <v>281</v>
      </c>
      <c r="O12" s="501"/>
      <c r="P12" s="501"/>
      <c r="Q12" s="501"/>
      <c r="R12" s="501"/>
      <c r="S12" s="501"/>
      <c r="T12" s="501"/>
      <c r="U12" s="501"/>
      <c r="V12" s="501"/>
      <c r="W12" s="502"/>
      <c r="X12" s="109"/>
      <c r="Y12" s="92"/>
      <c r="Z12" s="2"/>
      <c r="AA12" s="2"/>
      <c r="AB12" s="2"/>
      <c r="AC12" s="2"/>
      <c r="AD12" s="2"/>
      <c r="AE12" s="2"/>
      <c r="AF12" s="2"/>
      <c r="AG12" s="2"/>
      <c r="AH12" s="2"/>
      <c r="AI12" s="2"/>
      <c r="AJ12" s="2"/>
      <c r="AK12" s="2"/>
      <c r="AL12" s="2"/>
      <c r="AM12" s="2"/>
      <c r="AN12" s="2"/>
      <c r="AO12" s="2"/>
      <c r="AP12" s="2"/>
      <c r="AQ12" s="45"/>
      <c r="AR12" s="45"/>
      <c r="AS12" s="45"/>
      <c r="AT12" s="45"/>
      <c r="AU12" s="45"/>
      <c r="AV12" s="45"/>
      <c r="AW12" s="45"/>
      <c r="AX12" s="45"/>
      <c r="AY12" s="45"/>
      <c r="AZ12" s="2"/>
      <c r="BA12" s="2"/>
      <c r="BB12" s="2"/>
      <c r="BC12" s="2"/>
      <c r="BD12" s="2"/>
      <c r="BE12" s="2"/>
      <c r="BF12" s="2"/>
      <c r="BG12" s="2"/>
    </row>
    <row r="13" spans="1:59" ht="12.75" thickBot="1">
      <c r="A13" s="2"/>
      <c r="B13" s="45"/>
      <c r="C13" s="138" t="s">
        <v>441</v>
      </c>
      <c r="D13" s="122"/>
      <c r="E13" s="123"/>
      <c r="F13" s="123"/>
      <c r="G13" s="123"/>
      <c r="H13" s="135" t="s">
        <v>185</v>
      </c>
      <c r="I13" s="156"/>
      <c r="J13" s="506" t="s">
        <v>38</v>
      </c>
      <c r="K13" s="507"/>
      <c r="L13" s="508" t="s">
        <v>172</v>
      </c>
      <c r="M13" s="509"/>
      <c r="N13" s="510" t="s">
        <v>39</v>
      </c>
      <c r="O13" s="511"/>
      <c r="P13" s="136" t="s">
        <v>371</v>
      </c>
      <c r="Q13" s="124"/>
      <c r="R13" s="512" t="str">
        <f>IF(MID(N13,4,2)="03",AR3,IF(MID(N13,4,2)="06",AR4,IF(MID(N13,4,2)="09",AR5,IF(MID(N13,4,2)="12",AR6,IF(RIGHT(N13,7)="годовая",AR8,"")))))</f>
        <v>с 1 января по 30 июня</v>
      </c>
      <c r="S13" s="513"/>
      <c r="T13" s="513"/>
      <c r="U13" s="513"/>
      <c r="V13" s="513"/>
      <c r="W13" s="513"/>
      <c r="X13" s="125"/>
      <c r="Y13" s="126"/>
      <c r="Z13" s="2"/>
      <c r="AA13" s="2"/>
      <c r="AB13" s="2"/>
      <c r="AC13" s="2"/>
      <c r="AD13" s="2"/>
      <c r="AE13" s="2"/>
      <c r="AF13" s="2"/>
      <c r="AG13" s="2"/>
      <c r="AH13" s="2"/>
      <c r="AI13" s="2"/>
      <c r="AJ13" s="2"/>
      <c r="AK13" s="2"/>
      <c r="AL13" s="2"/>
      <c r="AM13" s="2"/>
      <c r="AN13" s="2"/>
      <c r="AO13" s="2"/>
      <c r="AP13" s="2"/>
      <c r="AQ13" s="45"/>
      <c r="AR13" s="45"/>
      <c r="AS13" s="45"/>
      <c r="AT13" s="45"/>
      <c r="AU13" s="45"/>
      <c r="AV13" s="45"/>
      <c r="AW13" s="45"/>
      <c r="AX13" s="45"/>
      <c r="AY13" s="45"/>
      <c r="AZ13" s="2"/>
      <c r="BA13" s="2"/>
      <c r="BB13" s="2"/>
      <c r="BC13" s="2"/>
      <c r="BD13" s="2"/>
      <c r="BE13" s="2"/>
      <c r="BF13" s="2"/>
      <c r="BG13" s="2"/>
    </row>
    <row r="14" spans="1:59" ht="12.75" thickTop="1">
      <c r="A14" s="2"/>
      <c r="B14" s="45"/>
      <c r="C14" s="143"/>
      <c r="D14" s="144"/>
      <c r="E14" s="145"/>
      <c r="F14" s="145"/>
      <c r="G14" s="145"/>
      <c r="H14" s="146"/>
      <c r="I14" s="147"/>
      <c r="J14" s="148"/>
      <c r="K14" s="149"/>
      <c r="L14" s="150"/>
      <c r="M14" s="151"/>
      <c r="N14" s="152"/>
      <c r="O14" s="153"/>
      <c r="P14" s="154"/>
      <c r="Q14" s="149"/>
      <c r="R14" s="155"/>
      <c r="S14" s="149"/>
      <c r="T14" s="149"/>
      <c r="U14" s="149"/>
      <c r="V14" s="149"/>
      <c r="W14" s="149"/>
      <c r="X14" s="149"/>
      <c r="Y14" s="149"/>
      <c r="Z14" s="2"/>
      <c r="AA14" s="2"/>
      <c r="AB14" s="2"/>
      <c r="AC14" s="2"/>
      <c r="AD14" s="2"/>
      <c r="AE14" s="2"/>
      <c r="AF14" s="2"/>
      <c r="AG14" s="2"/>
      <c r="AH14" s="2"/>
      <c r="AI14" s="2"/>
      <c r="AJ14" s="2"/>
      <c r="AK14" s="2"/>
      <c r="AL14" s="2"/>
      <c r="AM14" s="2"/>
      <c r="AN14" s="2"/>
      <c r="AO14" s="2"/>
      <c r="AP14" s="2"/>
      <c r="AQ14" s="45"/>
      <c r="AR14" s="45"/>
      <c r="AS14" s="45"/>
      <c r="AT14" s="45"/>
      <c r="AU14" s="45"/>
      <c r="AV14" s="45"/>
      <c r="AW14" s="45"/>
      <c r="AX14" s="45"/>
      <c r="AY14" s="45"/>
      <c r="AZ14" s="2"/>
      <c r="BA14" s="2"/>
      <c r="BB14" s="2"/>
      <c r="BC14" s="2"/>
      <c r="BD14" s="2"/>
      <c r="BE14" s="2"/>
      <c r="BF14" s="2"/>
      <c r="BG14" s="2"/>
    </row>
    <row r="15" spans="1:59" ht="12">
      <c r="A15" s="45"/>
      <c r="B15" s="134"/>
      <c r="C15" s="166" t="str">
        <f>K10</f>
        <v>ООО"ПИК-ПОДЪЕМ" </v>
      </c>
      <c r="D15" s="157"/>
      <c r="E15" s="157"/>
      <c r="F15" s="157"/>
      <c r="G15" s="157"/>
      <c r="H15" s="157"/>
      <c r="I15" s="157"/>
      <c r="J15" s="157"/>
      <c r="K15" s="157"/>
      <c r="L15" s="157"/>
      <c r="M15" s="134"/>
      <c r="N15" s="134"/>
      <c r="O15" s="134"/>
      <c r="P15" s="158"/>
      <c r="Q15" s="158"/>
      <c r="R15" s="158"/>
      <c r="S15" s="134"/>
      <c r="T15" s="158"/>
      <c r="U15" s="167" t="s">
        <v>117</v>
      </c>
      <c r="V15" s="167"/>
      <c r="W15" s="167"/>
      <c r="X15" s="167"/>
      <c r="Y15" s="167"/>
      <c r="Z15" s="134"/>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row>
    <row r="16" spans="1:59" ht="12.75">
      <c r="A16" s="45"/>
      <c r="B16" s="134"/>
      <c r="C16" s="162" t="s">
        <v>459</v>
      </c>
      <c r="D16" s="159"/>
      <c r="E16" s="159"/>
      <c r="F16" s="159"/>
      <c r="G16" s="159"/>
      <c r="H16" s="159"/>
      <c r="I16" s="159"/>
      <c r="J16" s="159"/>
      <c r="K16" s="159"/>
      <c r="L16" s="159"/>
      <c r="M16" s="159"/>
      <c r="N16" s="159"/>
      <c r="O16" s="159"/>
      <c r="P16" s="159"/>
      <c r="Q16" s="159"/>
      <c r="R16" s="159"/>
      <c r="S16" s="159"/>
      <c r="T16" s="159"/>
      <c r="U16" s="159"/>
      <c r="V16" s="159"/>
      <c r="W16" s="159"/>
      <c r="X16" s="159"/>
      <c r="Y16" s="159"/>
      <c r="Z16" s="134"/>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row>
    <row r="17" spans="1:59" ht="12.75">
      <c r="A17" s="45"/>
      <c r="B17" s="134"/>
      <c r="C17" s="163" t="str">
        <f>IF(N13="годовая",CONCATENATE("на 31.12.",J13," г."),CONCATENATE("на ",N13," г."))</f>
        <v>на 30.06.2010 г.</v>
      </c>
      <c r="D17" s="160"/>
      <c r="E17" s="160"/>
      <c r="F17" s="160"/>
      <c r="G17" s="160"/>
      <c r="H17" s="160"/>
      <c r="I17" s="160"/>
      <c r="J17" s="160"/>
      <c r="K17" s="160"/>
      <c r="L17" s="160"/>
      <c r="M17" s="160"/>
      <c r="N17" s="160"/>
      <c r="O17" s="160"/>
      <c r="P17" s="161"/>
      <c r="Q17" s="161"/>
      <c r="R17" s="160"/>
      <c r="S17" s="160"/>
      <c r="T17" s="161"/>
      <c r="U17" s="160"/>
      <c r="V17" s="160"/>
      <c r="W17" s="160"/>
      <c r="X17" s="160"/>
      <c r="Y17" s="160"/>
      <c r="Z17" s="134"/>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row>
    <row r="18" spans="1:59" ht="3.75" customHeight="1">
      <c r="A18" s="45"/>
      <c r="B18" s="81"/>
      <c r="C18" s="81"/>
      <c r="D18" s="81"/>
      <c r="E18" s="81"/>
      <c r="F18" s="81"/>
      <c r="G18" s="81"/>
      <c r="H18" s="81"/>
      <c r="I18" s="81"/>
      <c r="J18" s="81"/>
      <c r="K18" s="81"/>
      <c r="L18" s="81"/>
      <c r="M18" s="81"/>
      <c r="N18" s="83"/>
      <c r="O18" s="83"/>
      <c r="P18" s="84"/>
      <c r="Q18" s="84"/>
      <c r="R18" s="82">
        <f>IF(OR(AA51&lt;&gt;AA88,AC51&lt;&gt;AC88),"Внимание! Нет баланса!","")</f>
      </c>
      <c r="S18" s="83"/>
      <c r="T18" s="84"/>
      <c r="U18" s="81"/>
      <c r="V18" s="81"/>
      <c r="W18" s="81"/>
      <c r="X18" s="81"/>
      <c r="Y18" s="81"/>
      <c r="Z18" s="81"/>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row>
    <row r="19" spans="1:59" ht="14.25">
      <c r="A19" s="45"/>
      <c r="B19" s="81"/>
      <c r="C19" s="85">
        <f>IF(OR(V51&lt;&gt;V88,X51&lt;&gt;X88),"Внимание! Нет баланса!","")</f>
      </c>
      <c r="D19" s="86"/>
      <c r="E19" s="86"/>
      <c r="F19" s="86"/>
      <c r="G19" s="86"/>
      <c r="H19" s="86"/>
      <c r="I19" s="86"/>
      <c r="J19" s="86"/>
      <c r="K19" s="86"/>
      <c r="L19" s="86"/>
      <c r="M19" s="86"/>
      <c r="N19" s="86"/>
      <c r="O19" s="86"/>
      <c r="P19" s="86"/>
      <c r="Q19" s="86"/>
      <c r="R19" s="86"/>
      <c r="S19" s="86"/>
      <c r="T19" s="87"/>
      <c r="U19" s="48" t="s">
        <v>111</v>
      </c>
      <c r="V19" s="46" t="s">
        <v>113</v>
      </c>
      <c r="W19" s="49"/>
      <c r="X19" s="46" t="s">
        <v>115</v>
      </c>
      <c r="Y19" s="49"/>
      <c r="Z19" s="81"/>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row>
    <row r="20" spans="1:59" ht="12">
      <c r="A20" s="45"/>
      <c r="B20" s="81"/>
      <c r="C20" s="50" t="s">
        <v>110</v>
      </c>
      <c r="D20" s="51"/>
      <c r="E20" s="51"/>
      <c r="F20" s="51"/>
      <c r="G20" s="51"/>
      <c r="H20" s="51"/>
      <c r="I20" s="51"/>
      <c r="J20" s="51"/>
      <c r="K20" s="51"/>
      <c r="L20" s="51"/>
      <c r="M20" s="51"/>
      <c r="N20" s="51"/>
      <c r="O20" s="51"/>
      <c r="P20" s="11"/>
      <c r="Q20" s="11"/>
      <c r="R20" s="11"/>
      <c r="S20" s="51"/>
      <c r="T20" s="12"/>
      <c r="U20" s="52" t="s">
        <v>112</v>
      </c>
      <c r="V20" s="50" t="s">
        <v>456</v>
      </c>
      <c r="W20" s="53"/>
      <c r="X20" s="50" t="s">
        <v>456</v>
      </c>
      <c r="Y20" s="53"/>
      <c r="Z20" s="81"/>
      <c r="AA20" s="45"/>
      <c r="AB20" s="45"/>
      <c r="AC20" s="45"/>
      <c r="AD20" s="127"/>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row>
    <row r="21" spans="1:59" ht="12">
      <c r="A21" s="45"/>
      <c r="B21" s="81"/>
      <c r="C21" s="25">
        <v>1</v>
      </c>
      <c r="D21" s="29"/>
      <c r="E21" s="29"/>
      <c r="F21" s="29"/>
      <c r="G21" s="29"/>
      <c r="H21" s="29"/>
      <c r="I21" s="29"/>
      <c r="J21" s="29"/>
      <c r="K21" s="29"/>
      <c r="L21" s="29"/>
      <c r="M21" s="29"/>
      <c r="N21" s="29"/>
      <c r="O21" s="29"/>
      <c r="P21" s="14"/>
      <c r="Q21" s="14"/>
      <c r="R21" s="14"/>
      <c r="S21" s="29"/>
      <c r="T21" s="15"/>
      <c r="U21" s="54">
        <v>2</v>
      </c>
      <c r="V21" s="25">
        <v>3</v>
      </c>
      <c r="W21" s="44"/>
      <c r="X21" s="25">
        <v>4</v>
      </c>
      <c r="Y21" s="44"/>
      <c r="Z21" s="81"/>
      <c r="AA21" s="45"/>
      <c r="AB21" s="45"/>
      <c r="AC21" s="45"/>
      <c r="AD21" s="127"/>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row>
    <row r="22" spans="1:59" ht="12">
      <c r="A22" s="45"/>
      <c r="B22" s="81"/>
      <c r="C22" s="61" t="s">
        <v>484</v>
      </c>
      <c r="D22" s="62"/>
      <c r="E22" s="62"/>
      <c r="F22" s="62"/>
      <c r="G22" s="62"/>
      <c r="H22" s="62"/>
      <c r="I22" s="62"/>
      <c r="J22" s="62"/>
      <c r="K22" s="62"/>
      <c r="L22" s="62"/>
      <c r="M22" s="62"/>
      <c r="N22" s="62"/>
      <c r="O22" s="62"/>
      <c r="P22" s="63"/>
      <c r="Q22" s="63"/>
      <c r="R22" s="63"/>
      <c r="S22" s="62"/>
      <c r="T22" s="63"/>
      <c r="U22" s="62"/>
      <c r="V22" s="62"/>
      <c r="W22" s="62"/>
      <c r="X22" s="62"/>
      <c r="Y22" s="64"/>
      <c r="Z22" s="81"/>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row>
    <row r="23" spans="1:59" ht="12">
      <c r="A23" s="45"/>
      <c r="B23" s="81"/>
      <c r="C23" s="55" t="s">
        <v>479</v>
      </c>
      <c r="D23" s="56"/>
      <c r="E23" s="56"/>
      <c r="F23" s="56"/>
      <c r="G23" s="56"/>
      <c r="H23" s="56"/>
      <c r="I23" s="56"/>
      <c r="J23" s="56"/>
      <c r="K23" s="56"/>
      <c r="L23" s="56"/>
      <c r="M23" s="56"/>
      <c r="N23" s="56"/>
      <c r="O23" s="56"/>
      <c r="P23" s="57"/>
      <c r="Q23" s="57"/>
      <c r="R23" s="57"/>
      <c r="S23" s="56"/>
      <c r="T23" s="58"/>
      <c r="U23" s="59">
        <v>110</v>
      </c>
      <c r="V23" s="464"/>
      <c r="W23" s="463"/>
      <c r="X23" s="463"/>
      <c r="Y23" s="475"/>
      <c r="Z23" s="81"/>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row>
    <row r="24" spans="1:59" ht="12">
      <c r="A24" s="45"/>
      <c r="B24" s="81"/>
      <c r="C24" s="55" t="s">
        <v>638</v>
      </c>
      <c r="D24" s="56"/>
      <c r="E24" s="56"/>
      <c r="F24" s="56"/>
      <c r="G24" s="56"/>
      <c r="H24" s="56"/>
      <c r="I24" s="56"/>
      <c r="J24" s="56"/>
      <c r="K24" s="56"/>
      <c r="L24" s="56"/>
      <c r="M24" s="56"/>
      <c r="N24" s="56"/>
      <c r="O24" s="56"/>
      <c r="P24" s="57"/>
      <c r="Q24" s="57"/>
      <c r="R24" s="57"/>
      <c r="S24" s="56"/>
      <c r="T24" s="58"/>
      <c r="U24" s="59">
        <v>120</v>
      </c>
      <c r="V24" s="464">
        <v>1451</v>
      </c>
      <c r="W24" s="463"/>
      <c r="X24" s="463">
        <v>1107</v>
      </c>
      <c r="Y24" s="475"/>
      <c r="Z24" s="81"/>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row>
    <row r="25" spans="1:59" ht="12">
      <c r="A25" s="45"/>
      <c r="B25" s="81"/>
      <c r="C25" s="55" t="s">
        <v>480</v>
      </c>
      <c r="D25" s="56"/>
      <c r="E25" s="56"/>
      <c r="F25" s="56"/>
      <c r="G25" s="56"/>
      <c r="H25" s="56"/>
      <c r="I25" s="56"/>
      <c r="J25" s="56"/>
      <c r="K25" s="56"/>
      <c r="L25" s="56"/>
      <c r="M25" s="56"/>
      <c r="N25" s="56"/>
      <c r="O25" s="56"/>
      <c r="P25" s="57"/>
      <c r="Q25" s="57"/>
      <c r="R25" s="57"/>
      <c r="S25" s="56"/>
      <c r="T25" s="58"/>
      <c r="U25" s="59">
        <v>130</v>
      </c>
      <c r="V25" s="464"/>
      <c r="W25" s="463"/>
      <c r="X25" s="463"/>
      <c r="Y25" s="463"/>
      <c r="Z25" s="81"/>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row>
    <row r="26" spans="1:59" ht="12">
      <c r="A26" s="45"/>
      <c r="B26" s="81"/>
      <c r="C26" s="55" t="s">
        <v>481</v>
      </c>
      <c r="D26" s="56"/>
      <c r="E26" s="56"/>
      <c r="F26" s="56"/>
      <c r="G26" s="56"/>
      <c r="H26" s="56"/>
      <c r="I26" s="56"/>
      <c r="J26" s="56"/>
      <c r="K26" s="56"/>
      <c r="L26" s="56"/>
      <c r="M26" s="56"/>
      <c r="N26" s="56"/>
      <c r="O26" s="56"/>
      <c r="P26" s="57"/>
      <c r="Q26" s="57"/>
      <c r="R26" s="57"/>
      <c r="S26" s="56"/>
      <c r="T26" s="58"/>
      <c r="U26" s="59">
        <v>135</v>
      </c>
      <c r="V26" s="464"/>
      <c r="W26" s="463"/>
      <c r="X26" s="463"/>
      <c r="Y26" s="463"/>
      <c r="Z26" s="81"/>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row>
    <row r="27" spans="1:59" ht="12">
      <c r="A27" s="45"/>
      <c r="B27" s="81"/>
      <c r="C27" s="55" t="s">
        <v>482</v>
      </c>
      <c r="D27" s="56"/>
      <c r="E27" s="56"/>
      <c r="F27" s="56"/>
      <c r="G27" s="56"/>
      <c r="H27" s="56"/>
      <c r="I27" s="56"/>
      <c r="J27" s="56"/>
      <c r="K27" s="56"/>
      <c r="L27" s="56"/>
      <c r="M27" s="56"/>
      <c r="N27" s="56"/>
      <c r="O27" s="56"/>
      <c r="P27" s="57"/>
      <c r="Q27" s="57"/>
      <c r="R27" s="57"/>
      <c r="S27" s="56"/>
      <c r="T27" s="58"/>
      <c r="U27" s="59">
        <v>140</v>
      </c>
      <c r="V27" s="464">
        <v>0</v>
      </c>
      <c r="W27" s="463"/>
      <c r="X27" s="463">
        <v>0</v>
      </c>
      <c r="Y27" s="463"/>
      <c r="Z27" s="81"/>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row>
    <row r="28" spans="1:59" ht="12">
      <c r="A28" s="45"/>
      <c r="B28" s="81"/>
      <c r="C28" s="24" t="s">
        <v>682</v>
      </c>
      <c r="D28" s="451"/>
      <c r="E28" s="451"/>
      <c r="F28" s="451"/>
      <c r="G28" s="451"/>
      <c r="H28" s="451"/>
      <c r="I28" s="451"/>
      <c r="J28" s="451"/>
      <c r="K28" s="451"/>
      <c r="L28" s="451"/>
      <c r="M28" s="451"/>
      <c r="N28" s="451"/>
      <c r="O28" s="451"/>
      <c r="P28" s="452"/>
      <c r="Q28" s="452"/>
      <c r="R28" s="452"/>
      <c r="S28" s="451"/>
      <c r="T28" s="453"/>
      <c r="U28" s="454" t="s">
        <v>681</v>
      </c>
      <c r="V28" s="464">
        <v>673</v>
      </c>
      <c r="W28" s="463"/>
      <c r="X28" s="463">
        <v>34</v>
      </c>
      <c r="Y28" s="463"/>
      <c r="Z28" s="81"/>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row>
    <row r="29" spans="1:59" ht="12">
      <c r="A29" s="45"/>
      <c r="B29" s="81"/>
      <c r="C29" s="55" t="s">
        <v>138</v>
      </c>
      <c r="D29" s="56"/>
      <c r="E29" s="56"/>
      <c r="F29" s="56"/>
      <c r="G29" s="56"/>
      <c r="H29" s="56"/>
      <c r="I29" s="56"/>
      <c r="J29" s="56"/>
      <c r="K29" s="56"/>
      <c r="L29" s="56"/>
      <c r="M29" s="56"/>
      <c r="N29" s="56"/>
      <c r="O29" s="56"/>
      <c r="P29" s="57"/>
      <c r="Q29" s="57"/>
      <c r="R29" s="57"/>
      <c r="S29" s="56"/>
      <c r="T29" s="58"/>
      <c r="U29" s="59">
        <v>150</v>
      </c>
      <c r="V29" s="464"/>
      <c r="W29" s="463"/>
      <c r="X29" s="463"/>
      <c r="Y29" s="463"/>
      <c r="Z29" s="81"/>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row>
    <row r="30" spans="1:59" ht="12">
      <c r="A30" s="45"/>
      <c r="B30" s="81"/>
      <c r="C30" s="25" t="s">
        <v>483</v>
      </c>
      <c r="D30" s="29"/>
      <c r="E30" s="29"/>
      <c r="F30" s="29"/>
      <c r="G30" s="29"/>
      <c r="H30" s="29"/>
      <c r="I30" s="29"/>
      <c r="J30" s="29"/>
      <c r="K30" s="29"/>
      <c r="L30" s="29"/>
      <c r="M30" s="29"/>
      <c r="N30" s="29"/>
      <c r="O30" s="29"/>
      <c r="P30" s="14"/>
      <c r="Q30" s="14"/>
      <c r="R30" s="14"/>
      <c r="S30" s="29"/>
      <c r="T30" s="15"/>
      <c r="U30" s="34">
        <v>190</v>
      </c>
      <c r="V30" s="476">
        <f>SUM(V23:V29)</f>
        <v>2124</v>
      </c>
      <c r="W30" s="476"/>
      <c r="X30" s="476">
        <f>SUM(X23:X29)</f>
        <v>1141</v>
      </c>
      <c r="Y30" s="476"/>
      <c r="Z30" s="81"/>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row>
    <row r="31" spans="1:59" ht="12">
      <c r="A31" s="45"/>
      <c r="B31" s="81"/>
      <c r="C31" s="61" t="s">
        <v>485</v>
      </c>
      <c r="D31" s="62"/>
      <c r="E31" s="62"/>
      <c r="F31" s="62"/>
      <c r="G31" s="62"/>
      <c r="H31" s="62"/>
      <c r="I31" s="62"/>
      <c r="J31" s="62"/>
      <c r="K31" s="62"/>
      <c r="L31" s="62"/>
      <c r="M31" s="62"/>
      <c r="N31" s="62"/>
      <c r="O31" s="62"/>
      <c r="P31" s="63"/>
      <c r="Q31" s="63"/>
      <c r="R31" s="63"/>
      <c r="S31" s="62"/>
      <c r="T31" s="63"/>
      <c r="U31" s="62"/>
      <c r="V31" s="62"/>
      <c r="W31" s="62"/>
      <c r="X31" s="62"/>
      <c r="Y31" s="64"/>
      <c r="Z31" s="81"/>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row>
    <row r="32" spans="1:59" ht="12">
      <c r="A32" s="45"/>
      <c r="B32" s="81"/>
      <c r="C32" s="55" t="s">
        <v>486</v>
      </c>
      <c r="D32" s="56"/>
      <c r="E32" s="56"/>
      <c r="F32" s="56"/>
      <c r="G32" s="56"/>
      <c r="H32" s="56"/>
      <c r="I32" s="56"/>
      <c r="J32" s="56"/>
      <c r="K32" s="56"/>
      <c r="L32" s="56"/>
      <c r="M32" s="56"/>
      <c r="N32" s="56"/>
      <c r="O32" s="56"/>
      <c r="P32" s="57"/>
      <c r="Q32" s="57"/>
      <c r="R32" s="57"/>
      <c r="S32" s="56"/>
      <c r="T32" s="58"/>
      <c r="U32" s="60">
        <v>210</v>
      </c>
      <c r="V32" s="464">
        <v>6021</v>
      </c>
      <c r="W32" s="463"/>
      <c r="X32" s="463">
        <v>4477</v>
      </c>
      <c r="Y32" s="463"/>
      <c r="Z32" s="81"/>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row>
    <row r="33" spans="1:59" ht="12">
      <c r="A33" s="45"/>
      <c r="B33" s="81"/>
      <c r="C33" s="55" t="s">
        <v>487</v>
      </c>
      <c r="D33" s="56"/>
      <c r="E33" s="56"/>
      <c r="F33" s="56"/>
      <c r="G33" s="56"/>
      <c r="H33" s="56"/>
      <c r="I33" s="56"/>
      <c r="J33" s="56"/>
      <c r="K33" s="56"/>
      <c r="L33" s="56"/>
      <c r="M33" s="56"/>
      <c r="N33" s="56"/>
      <c r="O33" s="56"/>
      <c r="P33" s="57"/>
      <c r="Q33" s="57"/>
      <c r="R33" s="57"/>
      <c r="S33" s="56"/>
      <c r="T33" s="58"/>
      <c r="U33" s="60">
        <v>211</v>
      </c>
      <c r="V33" s="464">
        <v>1478</v>
      </c>
      <c r="W33" s="463"/>
      <c r="X33" s="463">
        <v>1220</v>
      </c>
      <c r="Y33" s="463"/>
      <c r="Z33" s="81"/>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row>
    <row r="34" spans="1:59" ht="12">
      <c r="A34" s="45"/>
      <c r="B34" s="81"/>
      <c r="C34" s="55" t="s">
        <v>488</v>
      </c>
      <c r="D34" s="56"/>
      <c r="E34" s="56"/>
      <c r="F34" s="56"/>
      <c r="G34" s="56"/>
      <c r="H34" s="56"/>
      <c r="I34" s="56"/>
      <c r="J34" s="56"/>
      <c r="K34" s="56"/>
      <c r="L34" s="56"/>
      <c r="M34" s="56"/>
      <c r="N34" s="56"/>
      <c r="O34" s="56"/>
      <c r="P34" s="57"/>
      <c r="Q34" s="57"/>
      <c r="R34" s="57"/>
      <c r="S34" s="56"/>
      <c r="T34" s="58"/>
      <c r="U34" s="60">
        <v>212</v>
      </c>
      <c r="V34" s="464"/>
      <c r="W34" s="463"/>
      <c r="X34" s="463"/>
      <c r="Y34" s="463"/>
      <c r="Z34" s="81"/>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row>
    <row r="35" spans="1:59" ht="12">
      <c r="A35" s="45"/>
      <c r="B35" s="81"/>
      <c r="C35" s="55" t="s">
        <v>489</v>
      </c>
      <c r="D35" s="56"/>
      <c r="E35" s="56"/>
      <c r="F35" s="56"/>
      <c r="G35" s="56"/>
      <c r="H35" s="56"/>
      <c r="I35" s="56"/>
      <c r="J35" s="56"/>
      <c r="K35" s="56"/>
      <c r="L35" s="56"/>
      <c r="M35" s="56"/>
      <c r="N35" s="56"/>
      <c r="O35" s="56"/>
      <c r="P35" s="57"/>
      <c r="Q35" s="57"/>
      <c r="R35" s="57"/>
      <c r="S35" s="56"/>
      <c r="T35" s="58"/>
      <c r="U35" s="60">
        <v>213</v>
      </c>
      <c r="V35" s="464"/>
      <c r="W35" s="463"/>
      <c r="X35" s="463">
        <v>1748</v>
      </c>
      <c r="Y35" s="463"/>
      <c r="Z35" s="81"/>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row>
    <row r="36" spans="1:59" ht="12">
      <c r="A36" s="45"/>
      <c r="B36" s="81"/>
      <c r="C36" s="55" t="s">
        <v>490</v>
      </c>
      <c r="D36" s="56"/>
      <c r="E36" s="56"/>
      <c r="F36" s="56"/>
      <c r="G36" s="56"/>
      <c r="H36" s="56"/>
      <c r="I36" s="56"/>
      <c r="J36" s="56"/>
      <c r="K36" s="56"/>
      <c r="L36" s="56"/>
      <c r="M36" s="56"/>
      <c r="N36" s="56"/>
      <c r="O36" s="56"/>
      <c r="P36" s="57"/>
      <c r="Q36" s="57"/>
      <c r="R36" s="57"/>
      <c r="S36" s="56"/>
      <c r="T36" s="58"/>
      <c r="U36" s="60">
        <v>214</v>
      </c>
      <c r="V36" s="464"/>
      <c r="W36" s="463"/>
      <c r="X36" s="463"/>
      <c r="Y36" s="463"/>
      <c r="Z36" s="81"/>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row>
    <row r="37" spans="1:59" ht="12">
      <c r="A37" s="45"/>
      <c r="B37" s="81"/>
      <c r="C37" s="55" t="s">
        <v>491</v>
      </c>
      <c r="D37" s="56"/>
      <c r="E37" s="56"/>
      <c r="F37" s="56"/>
      <c r="G37" s="56"/>
      <c r="H37" s="56"/>
      <c r="I37" s="56"/>
      <c r="J37" s="56"/>
      <c r="K37" s="56"/>
      <c r="L37" s="56"/>
      <c r="M37" s="56"/>
      <c r="N37" s="56"/>
      <c r="O37" s="56"/>
      <c r="P37" s="57"/>
      <c r="Q37" s="57"/>
      <c r="R37" s="57"/>
      <c r="S37" s="56"/>
      <c r="T37" s="58"/>
      <c r="U37" s="60">
        <v>215</v>
      </c>
      <c r="V37" s="464"/>
      <c r="W37" s="463"/>
      <c r="X37" s="463"/>
      <c r="Y37" s="463"/>
      <c r="Z37" s="81"/>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row>
    <row r="38" spans="1:59" ht="12">
      <c r="A38" s="45"/>
      <c r="B38" s="81"/>
      <c r="C38" s="24" t="s">
        <v>683</v>
      </c>
      <c r="D38" s="451"/>
      <c r="E38" s="451"/>
      <c r="F38" s="451"/>
      <c r="G38" s="451"/>
      <c r="H38" s="451"/>
      <c r="I38" s="451"/>
      <c r="J38" s="451"/>
      <c r="K38" s="451"/>
      <c r="L38" s="451"/>
      <c r="M38" s="451"/>
      <c r="N38" s="451"/>
      <c r="O38" s="451"/>
      <c r="P38" s="452"/>
      <c r="Q38" s="452"/>
      <c r="R38" s="452"/>
      <c r="S38" s="451"/>
      <c r="T38" s="453"/>
      <c r="U38" s="60">
        <v>216</v>
      </c>
      <c r="V38" s="464">
        <v>8</v>
      </c>
      <c r="W38" s="463"/>
      <c r="X38" s="463">
        <v>1391</v>
      </c>
      <c r="Y38" s="463"/>
      <c r="Z38" s="81"/>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row>
    <row r="39" spans="1:59" ht="12">
      <c r="A39" s="45"/>
      <c r="B39" s="81"/>
      <c r="C39" s="24" t="s">
        <v>684</v>
      </c>
      <c r="D39" s="451"/>
      <c r="E39" s="451"/>
      <c r="F39" s="451"/>
      <c r="G39" s="451"/>
      <c r="H39" s="451"/>
      <c r="I39" s="451"/>
      <c r="J39" s="451"/>
      <c r="K39" s="451"/>
      <c r="L39" s="451"/>
      <c r="M39" s="451"/>
      <c r="N39" s="451"/>
      <c r="O39" s="451"/>
      <c r="P39" s="452"/>
      <c r="Q39" s="452"/>
      <c r="R39" s="452"/>
      <c r="S39" s="451"/>
      <c r="T39" s="453"/>
      <c r="U39" s="60">
        <v>217</v>
      </c>
      <c r="V39" s="464">
        <v>4535</v>
      </c>
      <c r="W39" s="463"/>
      <c r="X39" s="463">
        <v>118</v>
      </c>
      <c r="Y39" s="463"/>
      <c r="Z39" s="81"/>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row>
    <row r="40" spans="1:59" ht="12">
      <c r="A40" s="45"/>
      <c r="B40" s="81"/>
      <c r="C40" s="24" t="s">
        <v>495</v>
      </c>
      <c r="D40" s="451"/>
      <c r="E40" s="451"/>
      <c r="F40" s="451"/>
      <c r="G40" s="451"/>
      <c r="H40" s="451"/>
      <c r="I40" s="451"/>
      <c r="J40" s="451"/>
      <c r="K40" s="451"/>
      <c r="L40" s="451"/>
      <c r="M40" s="451"/>
      <c r="N40" s="451"/>
      <c r="O40" s="451"/>
      <c r="P40" s="452"/>
      <c r="Q40" s="452"/>
      <c r="R40" s="452"/>
      <c r="S40" s="451"/>
      <c r="T40" s="453"/>
      <c r="U40" s="60">
        <v>218</v>
      </c>
      <c r="V40" s="464">
        <v>4535</v>
      </c>
      <c r="W40" s="463"/>
      <c r="X40" s="463">
        <v>118</v>
      </c>
      <c r="Y40" s="463"/>
      <c r="Z40" s="81"/>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row>
    <row r="41" spans="1:59" ht="12">
      <c r="A41" s="45"/>
      <c r="B41" s="81"/>
      <c r="C41" s="55" t="s">
        <v>468</v>
      </c>
      <c r="D41" s="56"/>
      <c r="E41" s="56"/>
      <c r="F41" s="56"/>
      <c r="G41" s="56"/>
      <c r="H41" s="56"/>
      <c r="I41" s="56"/>
      <c r="J41" s="56"/>
      <c r="K41" s="56"/>
      <c r="L41" s="56"/>
      <c r="M41" s="56"/>
      <c r="N41" s="56"/>
      <c r="O41" s="56"/>
      <c r="P41" s="57"/>
      <c r="Q41" s="57"/>
      <c r="R41" s="57"/>
      <c r="S41" s="56"/>
      <c r="T41" s="58"/>
      <c r="U41" s="60">
        <v>220</v>
      </c>
      <c r="V41" s="464">
        <v>12</v>
      </c>
      <c r="W41" s="463"/>
      <c r="X41" s="463">
        <v>3</v>
      </c>
      <c r="Y41" s="463"/>
      <c r="Z41" s="81"/>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row>
    <row r="42" spans="1:59" ht="12">
      <c r="A42" s="45"/>
      <c r="B42" s="81"/>
      <c r="C42" s="55" t="s">
        <v>469</v>
      </c>
      <c r="D42" s="56"/>
      <c r="E42" s="56"/>
      <c r="F42" s="56"/>
      <c r="G42" s="56"/>
      <c r="H42" s="56"/>
      <c r="I42" s="56"/>
      <c r="J42" s="56"/>
      <c r="K42" s="56"/>
      <c r="L42" s="56"/>
      <c r="M42" s="56"/>
      <c r="N42" s="56"/>
      <c r="O42" s="56"/>
      <c r="P42" s="57"/>
      <c r="Q42" s="57"/>
      <c r="R42" s="57"/>
      <c r="S42" s="56"/>
      <c r="T42" s="58"/>
      <c r="U42" s="60">
        <v>230</v>
      </c>
      <c r="V42" s="464"/>
      <c r="W42" s="463"/>
      <c r="X42" s="463"/>
      <c r="Y42" s="463"/>
      <c r="Z42" s="81"/>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row>
    <row r="43" spans="1:59" ht="12">
      <c r="A43" s="45"/>
      <c r="B43" s="81"/>
      <c r="C43" s="24" t="s">
        <v>470</v>
      </c>
      <c r="D43" s="451"/>
      <c r="E43" s="451"/>
      <c r="F43" s="451"/>
      <c r="G43" s="451"/>
      <c r="H43" s="451"/>
      <c r="I43" s="451"/>
      <c r="J43" s="451"/>
      <c r="K43" s="451"/>
      <c r="L43" s="451"/>
      <c r="M43" s="451"/>
      <c r="N43" s="451"/>
      <c r="O43" s="451"/>
      <c r="P43" s="452"/>
      <c r="Q43" s="452"/>
      <c r="R43" s="452"/>
      <c r="S43" s="451"/>
      <c r="T43" s="453"/>
      <c r="U43" s="60">
        <v>240</v>
      </c>
      <c r="V43" s="464">
        <v>143669</v>
      </c>
      <c r="W43" s="463"/>
      <c r="X43" s="463">
        <v>90992</v>
      </c>
      <c r="Y43" s="463"/>
      <c r="Z43" s="81"/>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row>
    <row r="44" spans="1:59" ht="12">
      <c r="A44" s="45"/>
      <c r="B44" s="81"/>
      <c r="C44" s="24" t="s">
        <v>685</v>
      </c>
      <c r="D44" s="451"/>
      <c r="E44" s="451"/>
      <c r="F44" s="451"/>
      <c r="G44" s="451"/>
      <c r="H44" s="451"/>
      <c r="I44" s="451"/>
      <c r="J44" s="451"/>
      <c r="K44" s="451"/>
      <c r="L44" s="451"/>
      <c r="M44" s="451"/>
      <c r="N44" s="451"/>
      <c r="O44" s="451"/>
      <c r="P44" s="452"/>
      <c r="Q44" s="452"/>
      <c r="R44" s="452"/>
      <c r="S44" s="451"/>
      <c r="T44" s="453"/>
      <c r="U44" s="60">
        <v>241</v>
      </c>
      <c r="V44" s="464">
        <v>47587</v>
      </c>
      <c r="W44" s="463"/>
      <c r="X44" s="464">
        <v>54806</v>
      </c>
      <c r="Y44" s="463"/>
      <c r="Z44" s="81"/>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row>
    <row r="45" spans="1:59" ht="12">
      <c r="A45" s="45"/>
      <c r="B45" s="81"/>
      <c r="C45" s="55" t="s">
        <v>471</v>
      </c>
      <c r="D45" s="56"/>
      <c r="E45" s="56"/>
      <c r="F45" s="56"/>
      <c r="G45" s="56"/>
      <c r="H45" s="56"/>
      <c r="I45" s="56"/>
      <c r="J45" s="56"/>
      <c r="K45" s="56"/>
      <c r="L45" s="56"/>
      <c r="M45" s="56"/>
      <c r="N45" s="56"/>
      <c r="O45" s="56"/>
      <c r="P45" s="57"/>
      <c r="Q45" s="57"/>
      <c r="R45" s="57"/>
      <c r="S45" s="56"/>
      <c r="T45" s="58"/>
      <c r="U45" s="60">
        <v>244</v>
      </c>
      <c r="V45" s="464"/>
      <c r="W45" s="463"/>
      <c r="X45" s="463"/>
      <c r="Y45" s="463"/>
      <c r="Z45" s="81"/>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row>
    <row r="46" spans="1:59" ht="12">
      <c r="A46" s="45"/>
      <c r="B46" s="81"/>
      <c r="C46" s="55" t="s">
        <v>472</v>
      </c>
      <c r="D46" s="56"/>
      <c r="E46" s="56"/>
      <c r="F46" s="56"/>
      <c r="G46" s="56"/>
      <c r="H46" s="56"/>
      <c r="I46" s="56"/>
      <c r="J46" s="56"/>
      <c r="K46" s="56"/>
      <c r="L46" s="56"/>
      <c r="M46" s="56"/>
      <c r="N46" s="56"/>
      <c r="O46" s="56"/>
      <c r="P46" s="57"/>
      <c r="Q46" s="57"/>
      <c r="R46" s="57"/>
      <c r="S46" s="56"/>
      <c r="T46" s="58"/>
      <c r="U46" s="60">
        <v>250</v>
      </c>
      <c r="V46" s="464"/>
      <c r="W46" s="463"/>
      <c r="X46" s="463"/>
      <c r="Y46" s="463"/>
      <c r="Z46" s="81"/>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row>
    <row r="47" spans="1:59" ht="12">
      <c r="A47" s="45"/>
      <c r="B47" s="81"/>
      <c r="C47" s="55" t="s">
        <v>473</v>
      </c>
      <c r="D47" s="56"/>
      <c r="E47" s="56"/>
      <c r="F47" s="56"/>
      <c r="G47" s="56"/>
      <c r="H47" s="56"/>
      <c r="I47" s="56"/>
      <c r="J47" s="56"/>
      <c r="K47" s="56"/>
      <c r="L47" s="56"/>
      <c r="M47" s="56"/>
      <c r="N47" s="56"/>
      <c r="O47" s="56"/>
      <c r="P47" s="57"/>
      <c r="Q47" s="57"/>
      <c r="R47" s="57"/>
      <c r="S47" s="56"/>
      <c r="T47" s="58"/>
      <c r="U47" s="60">
        <v>252</v>
      </c>
      <c r="V47" s="464"/>
      <c r="W47" s="463"/>
      <c r="X47" s="463"/>
      <c r="Y47" s="463"/>
      <c r="Z47" s="81"/>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row>
    <row r="48" spans="1:59" ht="12">
      <c r="A48" s="45"/>
      <c r="B48" s="81"/>
      <c r="C48" s="55" t="s">
        <v>474</v>
      </c>
      <c r="D48" s="56"/>
      <c r="E48" s="56"/>
      <c r="F48" s="56"/>
      <c r="G48" s="56"/>
      <c r="H48" s="56"/>
      <c r="I48" s="56"/>
      <c r="J48" s="56"/>
      <c r="K48" s="56"/>
      <c r="L48" s="56"/>
      <c r="M48" s="56"/>
      <c r="N48" s="56"/>
      <c r="O48" s="56"/>
      <c r="P48" s="57"/>
      <c r="Q48" s="57"/>
      <c r="R48" s="57"/>
      <c r="S48" s="56"/>
      <c r="T48" s="58"/>
      <c r="U48" s="60">
        <v>260</v>
      </c>
      <c r="V48" s="464">
        <v>14919</v>
      </c>
      <c r="W48" s="463"/>
      <c r="X48" s="463">
        <v>757</v>
      </c>
      <c r="Y48" s="463"/>
      <c r="Z48" s="81"/>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row>
    <row r="49" spans="1:59" ht="12">
      <c r="A49" s="45"/>
      <c r="B49" s="81"/>
      <c r="C49" s="55" t="s">
        <v>139</v>
      </c>
      <c r="D49" s="56"/>
      <c r="E49" s="56"/>
      <c r="F49" s="56"/>
      <c r="G49" s="56"/>
      <c r="H49" s="56"/>
      <c r="I49" s="56"/>
      <c r="J49" s="56"/>
      <c r="K49" s="56"/>
      <c r="L49" s="56"/>
      <c r="M49" s="56"/>
      <c r="N49" s="56"/>
      <c r="O49" s="56"/>
      <c r="P49" s="57"/>
      <c r="Q49" s="57"/>
      <c r="R49" s="57"/>
      <c r="S49" s="56"/>
      <c r="T49" s="58"/>
      <c r="U49" s="60">
        <v>270</v>
      </c>
      <c r="V49" s="464">
        <v>1132</v>
      </c>
      <c r="W49" s="463"/>
      <c r="X49" s="463">
        <v>857</v>
      </c>
      <c r="Y49" s="463"/>
      <c r="Z49" s="81"/>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row>
    <row r="50" spans="1:59" ht="12">
      <c r="A50" s="45"/>
      <c r="B50" s="81"/>
      <c r="C50" s="25" t="s">
        <v>475</v>
      </c>
      <c r="D50" s="29"/>
      <c r="E50" s="29"/>
      <c r="F50" s="29"/>
      <c r="G50" s="29"/>
      <c r="H50" s="29"/>
      <c r="I50" s="29"/>
      <c r="J50" s="29"/>
      <c r="K50" s="29"/>
      <c r="L50" s="29"/>
      <c r="M50" s="29"/>
      <c r="N50" s="29"/>
      <c r="O50" s="29"/>
      <c r="P50" s="14"/>
      <c r="Q50" s="14"/>
      <c r="R50" s="14"/>
      <c r="S50" s="29"/>
      <c r="T50" s="15"/>
      <c r="U50" s="36">
        <v>290</v>
      </c>
      <c r="V50" s="476">
        <f>SUM(V32,V41:V43,V46,V48:V49)</f>
        <v>165753</v>
      </c>
      <c r="W50" s="477"/>
      <c r="X50" s="477">
        <f>SUM(X32,X41:X43,X46,X48:X49)</f>
        <v>97086</v>
      </c>
      <c r="Y50" s="477"/>
      <c r="Z50" s="81"/>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row>
    <row r="51" spans="1:59" ht="12">
      <c r="A51" s="45"/>
      <c r="B51" s="81"/>
      <c r="C51" s="37" t="s">
        <v>476</v>
      </c>
      <c r="D51" s="38"/>
      <c r="E51" s="38"/>
      <c r="F51" s="38"/>
      <c r="G51" s="38"/>
      <c r="H51" s="38"/>
      <c r="I51" s="38"/>
      <c r="J51" s="38"/>
      <c r="K51" s="38"/>
      <c r="L51" s="38"/>
      <c r="M51" s="38"/>
      <c r="N51" s="38"/>
      <c r="O51" s="38"/>
      <c r="P51" s="39"/>
      <c r="Q51" s="39"/>
      <c r="R51" s="39"/>
      <c r="S51" s="38"/>
      <c r="T51" s="40"/>
      <c r="U51" s="36">
        <v>300</v>
      </c>
      <c r="V51" s="477">
        <f>V30+V50</f>
        <v>167877</v>
      </c>
      <c r="W51" s="477"/>
      <c r="X51" s="477">
        <f>X30+X50</f>
        <v>98227</v>
      </c>
      <c r="Y51" s="477"/>
      <c r="Z51" s="81"/>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row>
    <row r="52" spans="1:59" ht="12">
      <c r="A52" s="45"/>
      <c r="B52" s="81"/>
      <c r="C52" s="93"/>
      <c r="D52" s="94"/>
      <c r="E52" s="94"/>
      <c r="F52" s="94"/>
      <c r="G52" s="94"/>
      <c r="H52" s="94"/>
      <c r="I52" s="94"/>
      <c r="J52" s="94"/>
      <c r="K52" s="94"/>
      <c r="L52" s="94"/>
      <c r="M52" s="94"/>
      <c r="N52" s="94"/>
      <c r="O52" s="94"/>
      <c r="P52" s="95"/>
      <c r="Q52" s="95"/>
      <c r="R52" s="95"/>
      <c r="S52" s="94"/>
      <c r="T52" s="95"/>
      <c r="U52" s="94"/>
      <c r="V52" s="96"/>
      <c r="W52" s="96"/>
      <c r="X52" s="96"/>
      <c r="Y52" s="96"/>
      <c r="Z52" s="81"/>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row>
    <row r="53" spans="1:59" ht="12">
      <c r="A53" s="45"/>
      <c r="B53" s="81"/>
      <c r="C53" s="46"/>
      <c r="D53" s="47"/>
      <c r="E53" s="47"/>
      <c r="F53" s="47"/>
      <c r="G53" s="47"/>
      <c r="H53" s="47"/>
      <c r="I53" s="47"/>
      <c r="J53" s="47"/>
      <c r="K53" s="47"/>
      <c r="L53" s="47"/>
      <c r="M53" s="47"/>
      <c r="N53" s="47"/>
      <c r="O53" s="47"/>
      <c r="P53" s="9"/>
      <c r="Q53" s="9"/>
      <c r="R53" s="9"/>
      <c r="S53" s="47"/>
      <c r="T53" s="10"/>
      <c r="U53" s="48" t="s">
        <v>111</v>
      </c>
      <c r="V53" s="46" t="s">
        <v>113</v>
      </c>
      <c r="W53" s="49"/>
      <c r="X53" s="46" t="s">
        <v>115</v>
      </c>
      <c r="Y53" s="49"/>
      <c r="Z53" s="81"/>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row>
    <row r="54" spans="1:59" ht="12">
      <c r="A54" s="45"/>
      <c r="B54" s="81"/>
      <c r="C54" s="50" t="s">
        <v>116</v>
      </c>
      <c r="D54" s="51"/>
      <c r="E54" s="51"/>
      <c r="F54" s="51"/>
      <c r="G54" s="51"/>
      <c r="H54" s="51"/>
      <c r="I54" s="51"/>
      <c r="J54" s="51"/>
      <c r="K54" s="51"/>
      <c r="L54" s="51"/>
      <c r="M54" s="51"/>
      <c r="N54" s="51"/>
      <c r="O54" s="51"/>
      <c r="P54" s="11"/>
      <c r="Q54" s="11"/>
      <c r="R54" s="11"/>
      <c r="S54" s="51"/>
      <c r="T54" s="12"/>
      <c r="U54" s="52" t="s">
        <v>112</v>
      </c>
      <c r="V54" s="50" t="s">
        <v>456</v>
      </c>
      <c r="W54" s="53"/>
      <c r="X54" s="50" t="s">
        <v>456</v>
      </c>
      <c r="Y54" s="53"/>
      <c r="Z54" s="81"/>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row>
    <row r="55" spans="1:59" ht="12">
      <c r="A55" s="45"/>
      <c r="B55" s="81"/>
      <c r="C55" s="25">
        <v>1</v>
      </c>
      <c r="D55" s="29"/>
      <c r="E55" s="29"/>
      <c r="F55" s="29"/>
      <c r="G55" s="29"/>
      <c r="H55" s="29"/>
      <c r="I55" s="29"/>
      <c r="J55" s="29"/>
      <c r="K55" s="29"/>
      <c r="L55" s="29"/>
      <c r="M55" s="29"/>
      <c r="N55" s="29"/>
      <c r="O55" s="29"/>
      <c r="P55" s="14"/>
      <c r="Q55" s="14"/>
      <c r="R55" s="14"/>
      <c r="S55" s="29"/>
      <c r="T55" s="15"/>
      <c r="U55" s="54">
        <v>2</v>
      </c>
      <c r="V55" s="25">
        <v>3</v>
      </c>
      <c r="W55" s="44"/>
      <c r="X55" s="25">
        <v>4</v>
      </c>
      <c r="Y55" s="44"/>
      <c r="Z55" s="81"/>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row>
    <row r="56" spans="1:59" ht="12">
      <c r="A56" s="45"/>
      <c r="B56" s="81"/>
      <c r="C56" s="61" t="s">
        <v>457</v>
      </c>
      <c r="D56" s="62"/>
      <c r="E56" s="62"/>
      <c r="F56" s="62"/>
      <c r="G56" s="62"/>
      <c r="H56" s="62"/>
      <c r="I56" s="62"/>
      <c r="J56" s="62"/>
      <c r="K56" s="62"/>
      <c r="L56" s="62"/>
      <c r="M56" s="62"/>
      <c r="N56" s="62"/>
      <c r="O56" s="62"/>
      <c r="P56" s="63"/>
      <c r="Q56" s="63"/>
      <c r="R56" s="63"/>
      <c r="S56" s="62"/>
      <c r="T56" s="63"/>
      <c r="U56" s="62"/>
      <c r="V56" s="62"/>
      <c r="W56" s="62"/>
      <c r="X56" s="62"/>
      <c r="Y56" s="64"/>
      <c r="Z56" s="81"/>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row>
    <row r="57" spans="1:59" ht="12">
      <c r="A57" s="45"/>
      <c r="B57" s="81"/>
      <c r="C57" s="21" t="s">
        <v>477</v>
      </c>
      <c r="D57" s="28"/>
      <c r="E57" s="28"/>
      <c r="F57" s="28"/>
      <c r="G57" s="28"/>
      <c r="H57" s="28"/>
      <c r="I57" s="28"/>
      <c r="J57" s="28"/>
      <c r="K57" s="28"/>
      <c r="L57" s="28"/>
      <c r="M57" s="28"/>
      <c r="N57" s="28"/>
      <c r="O57" s="28"/>
      <c r="P57" s="18"/>
      <c r="Q57" s="18"/>
      <c r="R57" s="18"/>
      <c r="S57" s="28"/>
      <c r="T57" s="32"/>
      <c r="U57" s="35">
        <v>410</v>
      </c>
      <c r="V57" s="464">
        <v>7685</v>
      </c>
      <c r="W57" s="463"/>
      <c r="X57" s="463">
        <v>7685</v>
      </c>
      <c r="Y57" s="463"/>
      <c r="Z57" s="81"/>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row>
    <row r="58" spans="1:59" ht="12">
      <c r="A58" s="45"/>
      <c r="B58" s="81"/>
      <c r="C58" s="21" t="s">
        <v>373</v>
      </c>
      <c r="D58" s="28"/>
      <c r="E58" s="28"/>
      <c r="F58" s="28"/>
      <c r="G58" s="28"/>
      <c r="H58" s="28"/>
      <c r="I58" s="28"/>
      <c r="J58" s="28"/>
      <c r="K58" s="28"/>
      <c r="L58" s="28"/>
      <c r="M58" s="28"/>
      <c r="N58" s="28"/>
      <c r="O58" s="28"/>
      <c r="P58" s="18"/>
      <c r="Q58" s="18"/>
      <c r="R58" s="18"/>
      <c r="S58" s="28"/>
      <c r="T58" s="32"/>
      <c r="U58" s="35">
        <v>420</v>
      </c>
      <c r="V58" s="464"/>
      <c r="W58" s="463"/>
      <c r="X58" s="463"/>
      <c r="Y58" s="463"/>
      <c r="Z58" s="81"/>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row>
    <row r="59" spans="1:59" ht="12">
      <c r="A59" s="45"/>
      <c r="B59" s="81"/>
      <c r="C59" s="21" t="s">
        <v>478</v>
      </c>
      <c r="D59" s="28"/>
      <c r="E59" s="28"/>
      <c r="F59" s="28"/>
      <c r="G59" s="28"/>
      <c r="H59" s="28"/>
      <c r="I59" s="28"/>
      <c r="J59" s="28"/>
      <c r="K59" s="28"/>
      <c r="L59" s="28"/>
      <c r="M59" s="28"/>
      <c r="N59" s="28"/>
      <c r="O59" s="28"/>
      <c r="P59" s="18"/>
      <c r="Q59" s="18"/>
      <c r="R59" s="18"/>
      <c r="S59" s="28"/>
      <c r="T59" s="32"/>
      <c r="U59" s="35">
        <v>430</v>
      </c>
      <c r="V59" s="464"/>
      <c r="W59" s="463"/>
      <c r="X59" s="463"/>
      <c r="Y59" s="463"/>
      <c r="Z59" s="81"/>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row>
    <row r="60" spans="1:59" ht="12">
      <c r="A60" s="45"/>
      <c r="B60" s="81"/>
      <c r="C60" s="21" t="s">
        <v>374</v>
      </c>
      <c r="D60" s="28"/>
      <c r="E60" s="28"/>
      <c r="F60" s="28"/>
      <c r="G60" s="28"/>
      <c r="H60" s="28"/>
      <c r="I60" s="28"/>
      <c r="J60" s="28"/>
      <c r="K60" s="28"/>
      <c r="L60" s="28"/>
      <c r="M60" s="28"/>
      <c r="N60" s="28"/>
      <c r="O60" s="28"/>
      <c r="P60" s="18"/>
      <c r="Q60" s="18"/>
      <c r="R60" s="18"/>
      <c r="S60" s="28"/>
      <c r="T60" s="32"/>
      <c r="U60" s="35">
        <v>450</v>
      </c>
      <c r="V60" s="464"/>
      <c r="W60" s="463"/>
      <c r="X60" s="463"/>
      <c r="Y60" s="463"/>
      <c r="Z60" s="81"/>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row>
    <row r="61" spans="1:59" ht="12">
      <c r="A61" s="45"/>
      <c r="B61" s="81"/>
      <c r="C61" s="21" t="s">
        <v>375</v>
      </c>
      <c r="D61" s="28"/>
      <c r="E61" s="28"/>
      <c r="F61" s="28"/>
      <c r="G61" s="28"/>
      <c r="H61" s="28"/>
      <c r="I61" s="28"/>
      <c r="J61" s="28"/>
      <c r="K61" s="28"/>
      <c r="L61" s="28"/>
      <c r="M61" s="28"/>
      <c r="N61" s="28"/>
      <c r="O61" s="28"/>
      <c r="P61" s="18"/>
      <c r="Q61" s="18"/>
      <c r="R61" s="18"/>
      <c r="S61" s="28"/>
      <c r="T61" s="32"/>
      <c r="U61" s="35">
        <v>460</v>
      </c>
      <c r="V61" s="464">
        <v>15420</v>
      </c>
      <c r="W61" s="463"/>
      <c r="X61" s="463">
        <v>15420</v>
      </c>
      <c r="Y61" s="463"/>
      <c r="Z61" s="81"/>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row>
    <row r="62" spans="1:59" ht="12">
      <c r="A62" s="45"/>
      <c r="B62" s="81"/>
      <c r="C62" s="21" t="s">
        <v>376</v>
      </c>
      <c r="D62" s="28"/>
      <c r="E62" s="28"/>
      <c r="F62" s="28"/>
      <c r="G62" s="28"/>
      <c r="H62" s="28"/>
      <c r="I62" s="28"/>
      <c r="J62" s="28"/>
      <c r="K62" s="28"/>
      <c r="L62" s="28"/>
      <c r="M62" s="28"/>
      <c r="N62" s="28"/>
      <c r="O62" s="28"/>
      <c r="P62" s="18"/>
      <c r="Q62" s="18"/>
      <c r="R62" s="18"/>
      <c r="S62" s="28"/>
      <c r="T62" s="32"/>
      <c r="U62" s="35">
        <v>465</v>
      </c>
      <c r="V62" s="464"/>
      <c r="W62" s="463"/>
      <c r="X62" s="463"/>
      <c r="Y62" s="463"/>
      <c r="Z62" s="81"/>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row>
    <row r="63" spans="1:59" ht="12">
      <c r="A63" s="45"/>
      <c r="B63" s="81"/>
      <c r="C63" s="21" t="s">
        <v>443</v>
      </c>
      <c r="D63" s="28"/>
      <c r="E63" s="28"/>
      <c r="F63" s="28"/>
      <c r="G63" s="28"/>
      <c r="H63" s="28"/>
      <c r="I63" s="28"/>
      <c r="J63" s="28"/>
      <c r="K63" s="28"/>
      <c r="L63" s="28"/>
      <c r="M63" s="28"/>
      <c r="N63" s="28"/>
      <c r="O63" s="28"/>
      <c r="P63" s="18"/>
      <c r="Q63" s="18"/>
      <c r="R63" s="18"/>
      <c r="S63" s="28"/>
      <c r="T63" s="32"/>
      <c r="U63" s="35">
        <v>470</v>
      </c>
      <c r="V63" s="478">
        <v>0</v>
      </c>
      <c r="W63" s="479"/>
      <c r="X63" s="463">
        <v>2985</v>
      </c>
      <c r="Y63" s="463"/>
      <c r="Z63" s="81"/>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row>
    <row r="64" spans="1:59" ht="12">
      <c r="A64" s="45"/>
      <c r="B64" s="81"/>
      <c r="C64" s="21" t="s">
        <v>377</v>
      </c>
      <c r="D64" s="28"/>
      <c r="E64" s="28"/>
      <c r="F64" s="28"/>
      <c r="G64" s="28"/>
      <c r="H64" s="28"/>
      <c r="I64" s="28"/>
      <c r="J64" s="28"/>
      <c r="K64" s="28"/>
      <c r="L64" s="28"/>
      <c r="M64" s="28"/>
      <c r="N64" s="28"/>
      <c r="O64" s="28"/>
      <c r="P64" s="18"/>
      <c r="Q64" s="18"/>
      <c r="R64" s="18"/>
      <c r="S64" s="28"/>
      <c r="T64" s="32"/>
      <c r="U64" s="35">
        <v>475</v>
      </c>
      <c r="V64" s="478">
        <v>0</v>
      </c>
      <c r="W64" s="479"/>
      <c r="X64" s="463"/>
      <c r="Y64" s="463"/>
      <c r="Z64" s="81"/>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row>
    <row r="65" spans="1:59" ht="12">
      <c r="A65" s="45"/>
      <c r="B65" s="81"/>
      <c r="C65" s="25" t="s">
        <v>444</v>
      </c>
      <c r="D65" s="29"/>
      <c r="E65" s="29"/>
      <c r="F65" s="29"/>
      <c r="G65" s="29"/>
      <c r="H65" s="29"/>
      <c r="I65" s="29"/>
      <c r="J65" s="29"/>
      <c r="K65" s="29"/>
      <c r="L65" s="29"/>
      <c r="M65" s="29"/>
      <c r="N65" s="29"/>
      <c r="O65" s="29"/>
      <c r="P65" s="14"/>
      <c r="Q65" s="14"/>
      <c r="R65" s="14"/>
      <c r="S65" s="29"/>
      <c r="T65" s="15"/>
      <c r="U65" s="36">
        <v>490</v>
      </c>
      <c r="V65" s="480">
        <f>SUM(V57:V61)-V62</f>
        <v>23105</v>
      </c>
      <c r="W65" s="476"/>
      <c r="X65" s="476">
        <f>SUM(X57:X61,X63)-(X62+X64)</f>
        <v>26090</v>
      </c>
      <c r="Y65" s="476"/>
      <c r="Z65" s="81"/>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row>
    <row r="66" spans="1:59" ht="12">
      <c r="A66" s="45"/>
      <c r="B66" s="81"/>
      <c r="C66" s="61" t="s">
        <v>458</v>
      </c>
      <c r="D66" s="62"/>
      <c r="E66" s="62"/>
      <c r="F66" s="62"/>
      <c r="G66" s="62"/>
      <c r="H66" s="62"/>
      <c r="I66" s="62"/>
      <c r="J66" s="62"/>
      <c r="K66" s="62"/>
      <c r="L66" s="62"/>
      <c r="M66" s="62"/>
      <c r="N66" s="62"/>
      <c r="O66" s="62"/>
      <c r="P66" s="63"/>
      <c r="Q66" s="63"/>
      <c r="R66" s="63"/>
      <c r="S66" s="62"/>
      <c r="T66" s="63"/>
      <c r="U66" s="62"/>
      <c r="V66" s="62"/>
      <c r="W66" s="62"/>
      <c r="X66" s="62"/>
      <c r="Y66" s="64"/>
      <c r="Z66" s="81"/>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row>
    <row r="67" spans="1:59" ht="12">
      <c r="A67" s="45"/>
      <c r="B67" s="81"/>
      <c r="C67" s="21" t="s">
        <v>445</v>
      </c>
      <c r="D67" s="30"/>
      <c r="E67" s="30"/>
      <c r="F67" s="30"/>
      <c r="G67" s="30"/>
      <c r="H67" s="30"/>
      <c r="I67" s="30"/>
      <c r="J67" s="30"/>
      <c r="K67" s="30"/>
      <c r="L67" s="30"/>
      <c r="M67" s="30"/>
      <c r="N67" s="30"/>
      <c r="O67" s="30"/>
      <c r="P67" s="7"/>
      <c r="Q67" s="7"/>
      <c r="R67" s="7"/>
      <c r="S67" s="30"/>
      <c r="T67" s="7"/>
      <c r="U67" s="35">
        <v>510</v>
      </c>
      <c r="V67" s="464">
        <v>0</v>
      </c>
      <c r="W67" s="463"/>
      <c r="X67" s="463">
        <v>0</v>
      </c>
      <c r="Y67" s="463"/>
      <c r="Z67" s="81"/>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row>
    <row r="68" spans="1:59" ht="12">
      <c r="A68" s="45"/>
      <c r="B68" s="81"/>
      <c r="C68" s="24" t="s">
        <v>686</v>
      </c>
      <c r="D68" s="451"/>
      <c r="E68" s="451"/>
      <c r="F68" s="451"/>
      <c r="G68" s="451"/>
      <c r="H68" s="451"/>
      <c r="I68" s="451"/>
      <c r="J68" s="451"/>
      <c r="K68" s="451"/>
      <c r="L68" s="451"/>
      <c r="M68" s="451"/>
      <c r="N68" s="451"/>
      <c r="O68" s="451"/>
      <c r="P68" s="452"/>
      <c r="Q68" s="452"/>
      <c r="R68" s="452"/>
      <c r="S68" s="451"/>
      <c r="T68" s="452"/>
      <c r="U68" s="35">
        <v>515</v>
      </c>
      <c r="V68" s="464">
        <v>789</v>
      </c>
      <c r="W68" s="463"/>
      <c r="X68" s="464">
        <v>167</v>
      </c>
      <c r="Y68" s="463"/>
      <c r="Z68" s="81"/>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row>
    <row r="69" spans="1:59" ht="12">
      <c r="A69" s="45"/>
      <c r="B69" s="81"/>
      <c r="C69" s="21" t="s">
        <v>378</v>
      </c>
      <c r="D69" s="30"/>
      <c r="E69" s="30"/>
      <c r="F69" s="30"/>
      <c r="G69" s="30"/>
      <c r="H69" s="30"/>
      <c r="I69" s="30"/>
      <c r="J69" s="30"/>
      <c r="K69" s="30"/>
      <c r="L69" s="30"/>
      <c r="M69" s="30"/>
      <c r="N69" s="30"/>
      <c r="O69" s="30"/>
      <c r="P69" s="7"/>
      <c r="Q69" s="7"/>
      <c r="R69" s="7"/>
      <c r="S69" s="30"/>
      <c r="T69" s="7"/>
      <c r="U69" s="35">
        <v>520</v>
      </c>
      <c r="V69" s="464"/>
      <c r="W69" s="463"/>
      <c r="X69" s="463"/>
      <c r="Y69" s="463"/>
      <c r="Z69" s="81"/>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row>
    <row r="70" spans="1:59" ht="12">
      <c r="A70" s="45"/>
      <c r="B70" s="81"/>
      <c r="C70" s="25" t="s">
        <v>446</v>
      </c>
      <c r="D70" s="29"/>
      <c r="E70" s="29"/>
      <c r="F70" s="29"/>
      <c r="G70" s="29"/>
      <c r="H70" s="29"/>
      <c r="I70" s="29"/>
      <c r="J70" s="29"/>
      <c r="K70" s="29"/>
      <c r="L70" s="29"/>
      <c r="M70" s="29"/>
      <c r="N70" s="29"/>
      <c r="O70" s="29"/>
      <c r="P70" s="14"/>
      <c r="Q70" s="14"/>
      <c r="R70" s="14"/>
      <c r="S70" s="29"/>
      <c r="T70" s="14"/>
      <c r="U70" s="36">
        <v>590</v>
      </c>
      <c r="V70" s="480">
        <f>SUM(V67:V69)</f>
        <v>789</v>
      </c>
      <c r="W70" s="476"/>
      <c r="X70" s="476">
        <f>SUM(X67:X69)</f>
        <v>167</v>
      </c>
      <c r="Y70" s="476"/>
      <c r="Z70" s="81"/>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row>
    <row r="71" spans="1:59" ht="12">
      <c r="A71" s="45"/>
      <c r="B71" s="81"/>
      <c r="C71" s="61" t="s">
        <v>379</v>
      </c>
      <c r="D71" s="62"/>
      <c r="E71" s="62"/>
      <c r="F71" s="62"/>
      <c r="G71" s="62"/>
      <c r="H71" s="62"/>
      <c r="I71" s="62"/>
      <c r="J71" s="62"/>
      <c r="K71" s="62"/>
      <c r="L71" s="62"/>
      <c r="M71" s="62"/>
      <c r="N71" s="62"/>
      <c r="O71" s="62"/>
      <c r="P71" s="63"/>
      <c r="Q71" s="63"/>
      <c r="R71" s="63"/>
      <c r="S71" s="62"/>
      <c r="T71" s="63"/>
      <c r="U71" s="62"/>
      <c r="V71" s="62"/>
      <c r="W71" s="62"/>
      <c r="X71" s="62"/>
      <c r="Y71" s="64"/>
      <c r="Z71" s="81"/>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row>
    <row r="72" spans="1:59" ht="12">
      <c r="A72" s="45"/>
      <c r="B72" s="81"/>
      <c r="C72" s="21" t="s">
        <v>370</v>
      </c>
      <c r="D72" s="30"/>
      <c r="E72" s="30"/>
      <c r="F72" s="30"/>
      <c r="G72" s="30"/>
      <c r="H72" s="30"/>
      <c r="I72" s="30"/>
      <c r="J72" s="30"/>
      <c r="K72" s="30"/>
      <c r="L72" s="30"/>
      <c r="M72" s="30"/>
      <c r="N72" s="30"/>
      <c r="O72" s="30"/>
      <c r="P72" s="7"/>
      <c r="Q72" s="7"/>
      <c r="R72" s="7"/>
      <c r="S72" s="30"/>
      <c r="T72" s="8"/>
      <c r="U72" s="35">
        <v>610</v>
      </c>
      <c r="V72" s="464"/>
      <c r="W72" s="463"/>
      <c r="X72" s="463"/>
      <c r="Y72" s="463"/>
      <c r="Z72" s="81"/>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row>
    <row r="73" spans="1:59" ht="12">
      <c r="A73" s="45"/>
      <c r="B73" s="81"/>
      <c r="C73" s="21" t="s">
        <v>447</v>
      </c>
      <c r="D73" s="30"/>
      <c r="E73" s="30"/>
      <c r="F73" s="30"/>
      <c r="G73" s="30"/>
      <c r="H73" s="30"/>
      <c r="I73" s="30"/>
      <c r="J73" s="30"/>
      <c r="K73" s="30"/>
      <c r="L73" s="30"/>
      <c r="M73" s="30"/>
      <c r="N73" s="30"/>
      <c r="O73" s="30"/>
      <c r="P73" s="7"/>
      <c r="Q73" s="7"/>
      <c r="R73" s="7"/>
      <c r="S73" s="30"/>
      <c r="T73" s="8"/>
      <c r="U73" s="35">
        <v>611</v>
      </c>
      <c r="V73" s="464"/>
      <c r="W73" s="463"/>
      <c r="X73" s="463"/>
      <c r="Y73" s="463"/>
      <c r="Z73" s="81"/>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row>
    <row r="74" spans="1:59" ht="12">
      <c r="A74" s="45"/>
      <c r="B74" s="81"/>
      <c r="C74" s="21" t="s">
        <v>368</v>
      </c>
      <c r="D74" s="30"/>
      <c r="E74" s="30"/>
      <c r="F74" s="30"/>
      <c r="G74" s="30"/>
      <c r="H74" s="30"/>
      <c r="I74" s="30"/>
      <c r="J74" s="30"/>
      <c r="K74" s="30"/>
      <c r="L74" s="30"/>
      <c r="M74" s="30"/>
      <c r="N74" s="30"/>
      <c r="O74" s="30"/>
      <c r="P74" s="7"/>
      <c r="Q74" s="7"/>
      <c r="R74" s="7"/>
      <c r="S74" s="30"/>
      <c r="T74" s="8"/>
      <c r="U74" s="35">
        <v>620</v>
      </c>
      <c r="V74" s="481">
        <f>SUM(V75:V82)</f>
        <v>143983</v>
      </c>
      <c r="W74" s="482"/>
      <c r="X74" s="482">
        <f>SUM(X75:X82)</f>
        <v>71970</v>
      </c>
      <c r="Y74" s="482"/>
      <c r="Z74" s="81"/>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row>
    <row r="75" spans="1:59" ht="12">
      <c r="A75" s="45"/>
      <c r="B75" s="81"/>
      <c r="C75" s="21" t="s">
        <v>448</v>
      </c>
      <c r="D75" s="30"/>
      <c r="E75" s="30"/>
      <c r="F75" s="30"/>
      <c r="G75" s="30"/>
      <c r="H75" s="30"/>
      <c r="I75" s="30"/>
      <c r="J75" s="30"/>
      <c r="K75" s="30"/>
      <c r="L75" s="30"/>
      <c r="M75" s="30"/>
      <c r="N75" s="30"/>
      <c r="O75" s="30"/>
      <c r="P75" s="7"/>
      <c r="Q75" s="7"/>
      <c r="R75" s="7"/>
      <c r="S75" s="30"/>
      <c r="T75" s="8"/>
      <c r="U75" s="35">
        <v>621</v>
      </c>
      <c r="V75" s="464">
        <v>7611</v>
      </c>
      <c r="W75" s="463"/>
      <c r="X75" s="463">
        <v>24862</v>
      </c>
      <c r="Y75" s="463"/>
      <c r="Z75" s="81"/>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row>
    <row r="76" spans="1:59" ht="12">
      <c r="A76" s="45"/>
      <c r="B76" s="81"/>
      <c r="C76" s="21" t="s">
        <v>449</v>
      </c>
      <c r="D76" s="30"/>
      <c r="E76" s="30"/>
      <c r="F76" s="30"/>
      <c r="G76" s="30"/>
      <c r="H76" s="30"/>
      <c r="I76" s="30"/>
      <c r="J76" s="30"/>
      <c r="K76" s="30"/>
      <c r="L76" s="30"/>
      <c r="M76" s="30"/>
      <c r="N76" s="30"/>
      <c r="O76" s="30"/>
      <c r="P76" s="7"/>
      <c r="Q76" s="7"/>
      <c r="R76" s="7"/>
      <c r="S76" s="30"/>
      <c r="T76" s="8"/>
      <c r="U76" s="35">
        <v>622</v>
      </c>
      <c r="V76" s="464">
        <v>5835</v>
      </c>
      <c r="W76" s="463"/>
      <c r="X76" s="463">
        <v>11885</v>
      </c>
      <c r="Y76" s="463"/>
      <c r="Z76" s="81"/>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row>
    <row r="77" spans="1:59" ht="12">
      <c r="A77" s="45"/>
      <c r="B77" s="81"/>
      <c r="C77" s="21" t="s">
        <v>450</v>
      </c>
      <c r="D77" s="30"/>
      <c r="E77" s="30"/>
      <c r="F77" s="30"/>
      <c r="G77" s="30"/>
      <c r="H77" s="30"/>
      <c r="I77" s="30"/>
      <c r="J77" s="30"/>
      <c r="K77" s="30"/>
      <c r="L77" s="30"/>
      <c r="M77" s="30"/>
      <c r="N77" s="30"/>
      <c r="O77" s="30"/>
      <c r="P77" s="7"/>
      <c r="Q77" s="7"/>
      <c r="R77" s="7"/>
      <c r="S77" s="30"/>
      <c r="T77" s="8"/>
      <c r="U77" s="35">
        <v>623</v>
      </c>
      <c r="V77" s="464">
        <v>8917</v>
      </c>
      <c r="W77" s="463"/>
      <c r="X77" s="463">
        <v>11842</v>
      </c>
      <c r="Y77" s="463"/>
      <c r="Z77" s="81"/>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row>
    <row r="78" spans="1:59" ht="12">
      <c r="A78" s="45"/>
      <c r="B78" s="81"/>
      <c r="C78" s="21" t="s">
        <v>451</v>
      </c>
      <c r="D78" s="30"/>
      <c r="E78" s="30"/>
      <c r="F78" s="30"/>
      <c r="G78" s="30"/>
      <c r="H78" s="30"/>
      <c r="I78" s="30"/>
      <c r="J78" s="30"/>
      <c r="K78" s="30"/>
      <c r="L78" s="30"/>
      <c r="M78" s="30"/>
      <c r="N78" s="30"/>
      <c r="O78" s="30"/>
      <c r="P78" s="7"/>
      <c r="Q78" s="7"/>
      <c r="R78" s="7"/>
      <c r="S78" s="30"/>
      <c r="T78" s="8"/>
      <c r="U78" s="35">
        <v>624</v>
      </c>
      <c r="V78" s="464">
        <v>20997</v>
      </c>
      <c r="W78" s="463"/>
      <c r="X78" s="463">
        <v>14700</v>
      </c>
      <c r="Y78" s="463"/>
      <c r="Z78" s="81"/>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row>
    <row r="79" spans="1:59" ht="12">
      <c r="A79" s="45"/>
      <c r="B79" s="81"/>
      <c r="C79" s="21" t="s">
        <v>452</v>
      </c>
      <c r="D79" s="30"/>
      <c r="E79" s="30"/>
      <c r="F79" s="30"/>
      <c r="G79" s="30"/>
      <c r="H79" s="30"/>
      <c r="I79" s="30"/>
      <c r="J79" s="30"/>
      <c r="K79" s="30"/>
      <c r="L79" s="30"/>
      <c r="M79" s="30"/>
      <c r="N79" s="30"/>
      <c r="O79" s="30"/>
      <c r="P79" s="7"/>
      <c r="Q79" s="7"/>
      <c r="R79" s="7"/>
      <c r="S79" s="30"/>
      <c r="T79" s="8"/>
      <c r="U79" s="35">
        <v>625</v>
      </c>
      <c r="V79" s="464">
        <v>100623</v>
      </c>
      <c r="W79" s="463"/>
      <c r="X79" s="463">
        <v>8681</v>
      </c>
      <c r="Y79" s="463"/>
      <c r="Z79" s="81"/>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row>
    <row r="80" spans="1:59" ht="12">
      <c r="A80" s="45"/>
      <c r="B80" s="81"/>
      <c r="C80" s="21" t="s">
        <v>453</v>
      </c>
      <c r="D80" s="30"/>
      <c r="E80" s="30"/>
      <c r="F80" s="30"/>
      <c r="G80" s="30"/>
      <c r="H80" s="30"/>
      <c r="I80" s="30"/>
      <c r="J80" s="30"/>
      <c r="K80" s="30"/>
      <c r="L80" s="30"/>
      <c r="M80" s="30"/>
      <c r="N80" s="30"/>
      <c r="O80" s="30"/>
      <c r="P80" s="7"/>
      <c r="Q80" s="7"/>
      <c r="R80" s="7"/>
      <c r="S80" s="30"/>
      <c r="T80" s="8"/>
      <c r="U80" s="35">
        <v>626</v>
      </c>
      <c r="V80" s="464"/>
      <c r="W80" s="463"/>
      <c r="X80" s="463"/>
      <c r="Y80" s="463"/>
      <c r="Z80" s="81"/>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row>
    <row r="81" spans="1:59" ht="12">
      <c r="A81" s="45"/>
      <c r="B81" s="81"/>
      <c r="C81" s="21" t="s">
        <v>454</v>
      </c>
      <c r="D81" s="30"/>
      <c r="E81" s="30"/>
      <c r="F81" s="30"/>
      <c r="G81" s="30"/>
      <c r="H81" s="30"/>
      <c r="I81" s="30"/>
      <c r="J81" s="30"/>
      <c r="K81" s="30"/>
      <c r="L81" s="30"/>
      <c r="M81" s="30"/>
      <c r="N81" s="30"/>
      <c r="O81" s="30"/>
      <c r="P81" s="7"/>
      <c r="Q81" s="7"/>
      <c r="R81" s="7"/>
      <c r="S81" s="30"/>
      <c r="T81" s="8"/>
      <c r="U81" s="35">
        <v>627</v>
      </c>
      <c r="V81" s="464"/>
      <c r="W81" s="463"/>
      <c r="X81" s="463"/>
      <c r="Y81" s="463"/>
      <c r="Z81" s="81"/>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row>
    <row r="82" spans="1:59" ht="12">
      <c r="A82" s="45"/>
      <c r="B82" s="81"/>
      <c r="C82" s="21" t="s">
        <v>455</v>
      </c>
      <c r="D82" s="30"/>
      <c r="E82" s="30"/>
      <c r="F82" s="30"/>
      <c r="G82" s="30"/>
      <c r="H82" s="30"/>
      <c r="I82" s="30"/>
      <c r="J82" s="30"/>
      <c r="K82" s="30"/>
      <c r="L82" s="30"/>
      <c r="M82" s="30"/>
      <c r="N82" s="30"/>
      <c r="O82" s="30"/>
      <c r="P82" s="7"/>
      <c r="Q82" s="7"/>
      <c r="R82" s="7"/>
      <c r="S82" s="30"/>
      <c r="T82" s="8"/>
      <c r="U82" s="35">
        <v>628</v>
      </c>
      <c r="V82" s="464"/>
      <c r="W82" s="463"/>
      <c r="X82" s="463"/>
      <c r="Y82" s="463"/>
      <c r="Z82" s="81"/>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row>
    <row r="83" spans="1:59" ht="12">
      <c r="A83" s="45"/>
      <c r="B83" s="81"/>
      <c r="C83" s="21" t="s">
        <v>380</v>
      </c>
      <c r="D83" s="30"/>
      <c r="E83" s="30"/>
      <c r="F83" s="30"/>
      <c r="G83" s="30"/>
      <c r="H83" s="30"/>
      <c r="I83" s="30"/>
      <c r="J83" s="30"/>
      <c r="K83" s="30"/>
      <c r="L83" s="30"/>
      <c r="M83" s="30"/>
      <c r="N83" s="30"/>
      <c r="O83" s="30"/>
      <c r="P83" s="7"/>
      <c r="Q83" s="7"/>
      <c r="R83" s="7"/>
      <c r="S83" s="30"/>
      <c r="T83" s="8"/>
      <c r="U83" s="35">
        <v>630</v>
      </c>
      <c r="V83" s="464"/>
      <c r="W83" s="463"/>
      <c r="X83" s="463"/>
      <c r="Y83" s="463"/>
      <c r="Z83" s="81"/>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row>
    <row r="84" spans="1:59" ht="12">
      <c r="A84" s="45"/>
      <c r="B84" s="81"/>
      <c r="C84" s="21" t="s">
        <v>393</v>
      </c>
      <c r="D84" s="30"/>
      <c r="E84" s="30"/>
      <c r="F84" s="30"/>
      <c r="G84" s="30"/>
      <c r="H84" s="30"/>
      <c r="I84" s="30"/>
      <c r="J84" s="30"/>
      <c r="K84" s="30"/>
      <c r="L84" s="30"/>
      <c r="M84" s="30"/>
      <c r="N84" s="30"/>
      <c r="O84" s="30"/>
      <c r="P84" s="7"/>
      <c r="Q84" s="7"/>
      <c r="R84" s="7"/>
      <c r="S84" s="30"/>
      <c r="T84" s="8"/>
      <c r="U84" s="35">
        <v>640</v>
      </c>
      <c r="V84" s="464"/>
      <c r="W84" s="463"/>
      <c r="X84" s="463"/>
      <c r="Y84" s="463"/>
      <c r="Z84" s="81"/>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row>
    <row r="85" spans="1:59" ht="12">
      <c r="A85" s="45"/>
      <c r="B85" s="81"/>
      <c r="C85" s="21" t="s">
        <v>381</v>
      </c>
      <c r="D85" s="30"/>
      <c r="E85" s="30"/>
      <c r="F85" s="30"/>
      <c r="G85" s="30"/>
      <c r="H85" s="30"/>
      <c r="I85" s="30"/>
      <c r="J85" s="30"/>
      <c r="K85" s="30"/>
      <c r="L85" s="30"/>
      <c r="M85" s="30"/>
      <c r="N85" s="30"/>
      <c r="O85" s="30"/>
      <c r="P85" s="7"/>
      <c r="Q85" s="7"/>
      <c r="R85" s="7"/>
      <c r="S85" s="30"/>
      <c r="T85" s="8"/>
      <c r="U85" s="35">
        <v>650</v>
      </c>
      <c r="V85" s="464"/>
      <c r="W85" s="463"/>
      <c r="X85" s="463"/>
      <c r="Y85" s="463"/>
      <c r="Z85" s="81"/>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row>
    <row r="86" spans="1:59" ht="12">
      <c r="A86" s="45"/>
      <c r="B86" s="81"/>
      <c r="C86" s="21" t="s">
        <v>382</v>
      </c>
      <c r="D86" s="30"/>
      <c r="E86" s="30"/>
      <c r="F86" s="30"/>
      <c r="G86" s="30"/>
      <c r="H86" s="30"/>
      <c r="I86" s="30"/>
      <c r="J86" s="30"/>
      <c r="K86" s="30"/>
      <c r="L86" s="30"/>
      <c r="M86" s="30"/>
      <c r="N86" s="30"/>
      <c r="O86" s="30"/>
      <c r="P86" s="7"/>
      <c r="Q86" s="7"/>
      <c r="R86" s="7"/>
      <c r="S86" s="30"/>
      <c r="T86" s="8"/>
      <c r="U86" s="35">
        <v>660</v>
      </c>
      <c r="V86" s="464"/>
      <c r="W86" s="463"/>
      <c r="X86" s="463"/>
      <c r="Y86" s="463"/>
      <c r="Z86" s="81"/>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row>
    <row r="87" spans="1:59" ht="12">
      <c r="A87" s="45"/>
      <c r="B87" s="81"/>
      <c r="C87" s="25" t="s">
        <v>394</v>
      </c>
      <c r="D87" s="29"/>
      <c r="E87" s="29"/>
      <c r="F87" s="29"/>
      <c r="G87" s="29"/>
      <c r="H87" s="29"/>
      <c r="I87" s="29"/>
      <c r="J87" s="29"/>
      <c r="K87" s="29"/>
      <c r="L87" s="29"/>
      <c r="M87" s="29"/>
      <c r="N87" s="29"/>
      <c r="O87" s="29"/>
      <c r="P87" s="14"/>
      <c r="Q87" s="14"/>
      <c r="R87" s="14"/>
      <c r="S87" s="29"/>
      <c r="T87" s="15"/>
      <c r="U87" s="36">
        <v>690</v>
      </c>
      <c r="V87" s="483">
        <f>SUM(V72,V74,V83:V86)</f>
        <v>143983</v>
      </c>
      <c r="W87" s="477"/>
      <c r="X87" s="477">
        <f>SUM(X72,X74,X83:X86)</f>
        <v>71970</v>
      </c>
      <c r="Y87" s="477"/>
      <c r="Z87" s="81"/>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row>
    <row r="88" spans="1:59" ht="12">
      <c r="A88" s="45"/>
      <c r="B88" s="81"/>
      <c r="C88" s="172" t="s">
        <v>476</v>
      </c>
      <c r="D88" s="91"/>
      <c r="E88" s="91"/>
      <c r="F88" s="91"/>
      <c r="G88" s="91"/>
      <c r="H88" s="91"/>
      <c r="I88" s="91"/>
      <c r="J88" s="91"/>
      <c r="K88" s="91"/>
      <c r="L88" s="91"/>
      <c r="M88" s="91"/>
      <c r="N88" s="91"/>
      <c r="O88" s="91"/>
      <c r="P88" s="22"/>
      <c r="Q88" s="22"/>
      <c r="R88" s="22"/>
      <c r="S88" s="91"/>
      <c r="T88" s="23"/>
      <c r="U88" s="48">
        <v>700</v>
      </c>
      <c r="V88" s="484">
        <f>SUM(V65,V70,V87)</f>
        <v>167877</v>
      </c>
      <c r="W88" s="485"/>
      <c r="X88" s="485">
        <f>SUM(X65,X70,X87)</f>
        <v>98227</v>
      </c>
      <c r="Y88" s="485"/>
      <c r="Z88" s="81"/>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row>
    <row r="89" spans="1:59" ht="12">
      <c r="A89" s="45"/>
      <c r="B89" s="81"/>
      <c r="C89" s="173" t="str">
        <f>$C$15</f>
        <v>ООО"ПИК-ПОДЪЕМ" </v>
      </c>
      <c r="D89" s="174"/>
      <c r="E89" s="174"/>
      <c r="F89" s="174"/>
      <c r="G89" s="174"/>
      <c r="H89" s="174"/>
      <c r="I89" s="174"/>
      <c r="J89" s="174"/>
      <c r="K89" s="174"/>
      <c r="L89" s="174"/>
      <c r="M89" s="175"/>
      <c r="N89" s="175"/>
      <c r="O89" s="175"/>
      <c r="P89" s="176"/>
      <c r="Q89" s="176"/>
      <c r="R89" s="176"/>
      <c r="S89" s="175"/>
      <c r="T89" s="176"/>
      <c r="U89" s="177" t="s">
        <v>118</v>
      </c>
      <c r="V89" s="177"/>
      <c r="W89" s="177"/>
      <c r="X89" s="177"/>
      <c r="Y89" s="177"/>
      <c r="Z89" s="81"/>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row>
    <row r="90" spans="1:59" ht="12.75">
      <c r="A90" s="45"/>
      <c r="B90" s="81"/>
      <c r="C90" s="170" t="s">
        <v>124</v>
      </c>
      <c r="D90" s="170"/>
      <c r="E90" s="170"/>
      <c r="F90" s="170"/>
      <c r="G90" s="170"/>
      <c r="H90" s="170"/>
      <c r="I90" s="170"/>
      <c r="J90" s="170"/>
      <c r="K90" s="170"/>
      <c r="L90" s="170"/>
      <c r="M90" s="170"/>
      <c r="N90" s="170"/>
      <c r="O90" s="170"/>
      <c r="P90" s="170"/>
      <c r="Q90" s="170"/>
      <c r="R90" s="170"/>
      <c r="S90" s="170"/>
      <c r="T90" s="170"/>
      <c r="U90" s="170"/>
      <c r="V90" s="170"/>
      <c r="W90" s="170"/>
      <c r="X90" s="170"/>
      <c r="Y90" s="170"/>
      <c r="Z90" s="81"/>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row>
    <row r="91" spans="1:59" ht="12.75">
      <c r="A91" s="45"/>
      <c r="B91" s="81"/>
      <c r="C91" s="162" t="str">
        <f>CONCATENATE(R13,"  ",J13," г.")</f>
        <v>с 1 января по 30 июня  2010 г.</v>
      </c>
      <c r="D91" s="164"/>
      <c r="E91" s="164"/>
      <c r="F91" s="164"/>
      <c r="G91" s="164"/>
      <c r="H91" s="164"/>
      <c r="I91" s="164"/>
      <c r="J91" s="164"/>
      <c r="K91" s="164"/>
      <c r="L91" s="164"/>
      <c r="M91" s="164"/>
      <c r="N91" s="164"/>
      <c r="O91" s="164"/>
      <c r="P91" s="171"/>
      <c r="Q91" s="171"/>
      <c r="R91" s="171"/>
      <c r="S91" s="164"/>
      <c r="T91" s="171"/>
      <c r="U91" s="164"/>
      <c r="V91" s="164"/>
      <c r="W91" s="164"/>
      <c r="X91" s="164"/>
      <c r="Y91" s="164"/>
      <c r="Z91" s="81"/>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row>
    <row r="92" spans="1:59" ht="12">
      <c r="A92" s="45"/>
      <c r="B92" s="81"/>
      <c r="C92" s="46" t="s">
        <v>152</v>
      </c>
      <c r="D92" s="47"/>
      <c r="E92" s="47"/>
      <c r="F92" s="47"/>
      <c r="G92" s="47"/>
      <c r="H92" s="47"/>
      <c r="I92" s="47"/>
      <c r="J92" s="47"/>
      <c r="K92" s="47"/>
      <c r="L92" s="47"/>
      <c r="M92" s="47"/>
      <c r="N92" s="47"/>
      <c r="O92" s="47"/>
      <c r="P92" s="9"/>
      <c r="Q92" s="9"/>
      <c r="R92" s="9"/>
      <c r="S92" s="47"/>
      <c r="T92" s="10"/>
      <c r="U92" s="48" t="s">
        <v>111</v>
      </c>
      <c r="V92" s="46" t="s">
        <v>464</v>
      </c>
      <c r="W92" s="49"/>
      <c r="X92" s="46" t="s">
        <v>154</v>
      </c>
      <c r="Y92" s="49"/>
      <c r="Z92" s="81"/>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row>
    <row r="93" spans="1:59" ht="12">
      <c r="A93" s="45"/>
      <c r="B93" s="81"/>
      <c r="C93" s="50" t="s">
        <v>132</v>
      </c>
      <c r="D93" s="51"/>
      <c r="E93" s="51"/>
      <c r="F93" s="51"/>
      <c r="G93" s="51"/>
      <c r="H93" s="51"/>
      <c r="I93" s="51"/>
      <c r="J93" s="51"/>
      <c r="K93" s="51"/>
      <c r="L93" s="51"/>
      <c r="M93" s="51"/>
      <c r="N93" s="51"/>
      <c r="O93" s="51"/>
      <c r="P93" s="11"/>
      <c r="Q93" s="11"/>
      <c r="R93" s="11"/>
      <c r="S93" s="51"/>
      <c r="T93" s="12"/>
      <c r="U93" s="52" t="s">
        <v>112</v>
      </c>
      <c r="V93" s="50" t="s">
        <v>119</v>
      </c>
      <c r="W93" s="53"/>
      <c r="X93" s="50" t="s">
        <v>119</v>
      </c>
      <c r="Y93" s="53"/>
      <c r="Z93" s="81"/>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row>
    <row r="94" spans="1:59" ht="12">
      <c r="A94" s="45"/>
      <c r="B94" s="81"/>
      <c r="C94" s="25">
        <v>1</v>
      </c>
      <c r="D94" s="29"/>
      <c r="E94" s="29"/>
      <c r="F94" s="29"/>
      <c r="G94" s="29"/>
      <c r="H94" s="29"/>
      <c r="I94" s="29"/>
      <c r="J94" s="29"/>
      <c r="K94" s="29"/>
      <c r="L94" s="29"/>
      <c r="M94" s="29"/>
      <c r="N94" s="29"/>
      <c r="O94" s="29"/>
      <c r="P94" s="14"/>
      <c r="Q94" s="14"/>
      <c r="R94" s="14"/>
      <c r="S94" s="29"/>
      <c r="T94" s="15"/>
      <c r="U94" s="54">
        <v>2</v>
      </c>
      <c r="V94" s="25">
        <v>3</v>
      </c>
      <c r="W94" s="44"/>
      <c r="X94" s="25">
        <v>4</v>
      </c>
      <c r="Y94" s="44"/>
      <c r="Z94" s="81"/>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row>
    <row r="95" spans="1:59" ht="12">
      <c r="A95" s="45"/>
      <c r="B95" s="81"/>
      <c r="C95" s="41" t="s">
        <v>465</v>
      </c>
      <c r="D95" s="42"/>
      <c r="E95" s="42"/>
      <c r="F95" s="42"/>
      <c r="G95" s="42"/>
      <c r="H95" s="42"/>
      <c r="I95" s="42"/>
      <c r="J95" s="42"/>
      <c r="K95" s="42"/>
      <c r="L95" s="42"/>
      <c r="M95" s="42"/>
      <c r="N95" s="42"/>
      <c r="O95" s="42"/>
      <c r="P95" s="6"/>
      <c r="Q95" s="6"/>
      <c r="R95" s="6"/>
      <c r="S95" s="42"/>
      <c r="T95" s="6"/>
      <c r="U95" s="42"/>
      <c r="V95" s="42"/>
      <c r="W95" s="42"/>
      <c r="X95" s="42"/>
      <c r="Y95" s="43"/>
      <c r="Z95" s="81"/>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row>
    <row r="96" spans="1:59" ht="12">
      <c r="A96" s="45"/>
      <c r="B96" s="81"/>
      <c r="C96" s="21" t="s">
        <v>395</v>
      </c>
      <c r="D96" s="30"/>
      <c r="E96" s="30"/>
      <c r="F96" s="30"/>
      <c r="G96" s="30"/>
      <c r="H96" s="30"/>
      <c r="I96" s="30"/>
      <c r="J96" s="30"/>
      <c r="K96" s="30"/>
      <c r="L96" s="30"/>
      <c r="M96" s="30"/>
      <c r="N96" s="30"/>
      <c r="O96" s="30"/>
      <c r="P96" s="7"/>
      <c r="Q96" s="7"/>
      <c r="R96" s="7"/>
      <c r="S96" s="30"/>
      <c r="T96" s="8"/>
      <c r="U96" s="33" t="s">
        <v>639</v>
      </c>
      <c r="V96" s="473">
        <f>SUM(V97:V100)</f>
        <v>79229</v>
      </c>
      <c r="W96" s="473"/>
      <c r="X96" s="473">
        <f>SUM(X97:X100)</f>
        <v>44630</v>
      </c>
      <c r="Y96" s="473"/>
      <c r="Z96" s="81"/>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row>
    <row r="97" spans="1:59" ht="12">
      <c r="A97" s="45"/>
      <c r="B97" s="81"/>
      <c r="C97" s="21" t="s">
        <v>610</v>
      </c>
      <c r="D97" s="30"/>
      <c r="E97" s="30"/>
      <c r="F97" s="30"/>
      <c r="G97" s="30"/>
      <c r="H97" s="30"/>
      <c r="I97" s="30"/>
      <c r="J97" s="30"/>
      <c r="K97" s="30"/>
      <c r="L97" s="30"/>
      <c r="M97" s="30"/>
      <c r="N97" s="30"/>
      <c r="O97" s="30"/>
      <c r="P97" s="7"/>
      <c r="Q97" s="7"/>
      <c r="R97" s="7"/>
      <c r="S97" s="30"/>
      <c r="T97" s="8"/>
      <c r="U97" s="33" t="s">
        <v>383</v>
      </c>
      <c r="V97" s="463"/>
      <c r="W97" s="463"/>
      <c r="X97" s="463"/>
      <c r="Y97" s="463"/>
      <c r="Z97" s="81"/>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row>
    <row r="98" spans="1:59" ht="12">
      <c r="A98" s="45"/>
      <c r="B98" s="81"/>
      <c r="C98" s="21" t="s">
        <v>422</v>
      </c>
      <c r="D98" s="30"/>
      <c r="E98" s="30"/>
      <c r="F98" s="30"/>
      <c r="G98" s="30"/>
      <c r="H98" s="30"/>
      <c r="I98" s="30"/>
      <c r="J98" s="30"/>
      <c r="K98" s="30"/>
      <c r="L98" s="30"/>
      <c r="M98" s="30"/>
      <c r="N98" s="30"/>
      <c r="O98" s="30"/>
      <c r="P98" s="7"/>
      <c r="Q98" s="7"/>
      <c r="R98" s="7"/>
      <c r="S98" s="30"/>
      <c r="T98" s="8"/>
      <c r="U98" s="33" t="s">
        <v>384</v>
      </c>
      <c r="V98" s="463">
        <v>5336</v>
      </c>
      <c r="W98" s="463"/>
      <c r="X98" s="463"/>
      <c r="Y98" s="463"/>
      <c r="Z98" s="81"/>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row>
    <row r="99" spans="1:59" ht="12">
      <c r="A99" s="45"/>
      <c r="B99" s="81"/>
      <c r="C99" s="21" t="s">
        <v>423</v>
      </c>
      <c r="D99" s="30"/>
      <c r="E99" s="30"/>
      <c r="F99" s="30"/>
      <c r="G99" s="30"/>
      <c r="H99" s="30"/>
      <c r="I99" s="30"/>
      <c r="J99" s="30"/>
      <c r="K99" s="30"/>
      <c r="L99" s="30"/>
      <c r="M99" s="30"/>
      <c r="N99" s="30"/>
      <c r="O99" s="30"/>
      <c r="P99" s="7"/>
      <c r="Q99" s="7"/>
      <c r="R99" s="7"/>
      <c r="S99" s="30"/>
      <c r="T99" s="8"/>
      <c r="U99" s="33" t="s">
        <v>385</v>
      </c>
      <c r="V99" s="463"/>
      <c r="W99" s="463"/>
      <c r="X99" s="463"/>
      <c r="Y99" s="463"/>
      <c r="Z99" s="81"/>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row>
    <row r="100" spans="1:59" ht="12">
      <c r="A100" s="45"/>
      <c r="B100" s="81"/>
      <c r="C100" s="21" t="s">
        <v>424</v>
      </c>
      <c r="D100" s="30"/>
      <c r="E100" s="30"/>
      <c r="F100" s="30"/>
      <c r="G100" s="30"/>
      <c r="H100" s="30"/>
      <c r="I100" s="30"/>
      <c r="J100" s="30"/>
      <c r="K100" s="30"/>
      <c r="L100" s="30"/>
      <c r="M100" s="30"/>
      <c r="N100" s="30"/>
      <c r="O100" s="30"/>
      <c r="P100" s="7"/>
      <c r="Q100" s="7"/>
      <c r="R100" s="7"/>
      <c r="S100" s="30"/>
      <c r="T100" s="8"/>
      <c r="U100" s="33" t="s">
        <v>386</v>
      </c>
      <c r="V100" s="463">
        <f>55495+18398</f>
        <v>73893</v>
      </c>
      <c r="W100" s="463"/>
      <c r="X100" s="463">
        <v>44630</v>
      </c>
      <c r="Y100" s="463"/>
      <c r="Z100" s="81"/>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row>
    <row r="101" spans="1:59" ht="12">
      <c r="A101" s="45"/>
      <c r="B101" s="81"/>
      <c r="C101" s="21" t="s">
        <v>425</v>
      </c>
      <c r="D101" s="30"/>
      <c r="E101" s="30"/>
      <c r="F101" s="30"/>
      <c r="G101" s="30"/>
      <c r="H101" s="30"/>
      <c r="I101" s="30"/>
      <c r="J101" s="30"/>
      <c r="K101" s="30"/>
      <c r="L101" s="30"/>
      <c r="M101" s="30"/>
      <c r="N101" s="30"/>
      <c r="O101" s="30"/>
      <c r="P101" s="7"/>
      <c r="Q101" s="7"/>
      <c r="R101" s="7"/>
      <c r="S101" s="30"/>
      <c r="T101" s="8"/>
      <c r="U101" s="33" t="s">
        <v>640</v>
      </c>
      <c r="V101" s="473">
        <f>SUM(V102:V105)</f>
        <v>59369</v>
      </c>
      <c r="W101" s="473"/>
      <c r="X101" s="473">
        <f>SUM(X102:X105)</f>
        <v>42898</v>
      </c>
      <c r="Y101" s="473"/>
      <c r="Z101" s="81"/>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row>
    <row r="102" spans="1:59" ht="12">
      <c r="A102" s="45"/>
      <c r="B102" s="81"/>
      <c r="C102" s="21" t="s">
        <v>611</v>
      </c>
      <c r="D102" s="30"/>
      <c r="E102" s="30"/>
      <c r="F102" s="30"/>
      <c r="G102" s="30"/>
      <c r="H102" s="30"/>
      <c r="I102" s="30"/>
      <c r="J102" s="30"/>
      <c r="K102" s="30"/>
      <c r="L102" s="30"/>
      <c r="M102" s="30"/>
      <c r="N102" s="30"/>
      <c r="O102" s="30"/>
      <c r="P102" s="7"/>
      <c r="Q102" s="7"/>
      <c r="R102" s="7"/>
      <c r="S102" s="30"/>
      <c r="T102" s="8"/>
      <c r="U102" s="33" t="s">
        <v>387</v>
      </c>
      <c r="V102" s="463"/>
      <c r="W102" s="463"/>
      <c r="X102" s="463"/>
      <c r="Y102" s="463"/>
      <c r="Z102" s="81"/>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row>
    <row r="103" spans="1:59" ht="12">
      <c r="A103" s="45"/>
      <c r="B103" s="81"/>
      <c r="C103" s="21" t="s">
        <v>426</v>
      </c>
      <c r="D103" s="30"/>
      <c r="E103" s="30"/>
      <c r="F103" s="30"/>
      <c r="G103" s="30"/>
      <c r="H103" s="30"/>
      <c r="I103" s="30"/>
      <c r="J103" s="30"/>
      <c r="K103" s="30"/>
      <c r="L103" s="30"/>
      <c r="M103" s="30"/>
      <c r="N103" s="30"/>
      <c r="O103" s="30"/>
      <c r="P103" s="7"/>
      <c r="Q103" s="7"/>
      <c r="R103" s="7"/>
      <c r="S103" s="30"/>
      <c r="T103" s="8"/>
      <c r="U103" s="33" t="s">
        <v>388</v>
      </c>
      <c r="V103" s="463">
        <v>52.8</v>
      </c>
      <c r="W103" s="463"/>
      <c r="X103" s="463"/>
      <c r="Y103" s="463"/>
      <c r="Z103" s="81"/>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row>
    <row r="104" spans="1:59" ht="12">
      <c r="A104" s="45"/>
      <c r="B104" s="81"/>
      <c r="C104" s="21" t="s">
        <v>427</v>
      </c>
      <c r="D104" s="30"/>
      <c r="E104" s="30"/>
      <c r="F104" s="30"/>
      <c r="G104" s="30"/>
      <c r="H104" s="30"/>
      <c r="I104" s="30"/>
      <c r="J104" s="30"/>
      <c r="K104" s="30"/>
      <c r="L104" s="30"/>
      <c r="M104" s="30"/>
      <c r="N104" s="30"/>
      <c r="O104" s="30"/>
      <c r="P104" s="7"/>
      <c r="Q104" s="7"/>
      <c r="R104" s="7"/>
      <c r="S104" s="30"/>
      <c r="T104" s="8"/>
      <c r="U104" s="33" t="s">
        <v>389</v>
      </c>
      <c r="V104" s="463"/>
      <c r="W104" s="463"/>
      <c r="X104" s="463"/>
      <c r="Y104" s="463"/>
      <c r="Z104" s="81"/>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row>
    <row r="105" spans="1:59" ht="12">
      <c r="A105" s="45"/>
      <c r="B105" s="81"/>
      <c r="C105" s="21" t="s">
        <v>428</v>
      </c>
      <c r="D105" s="30"/>
      <c r="E105" s="30"/>
      <c r="F105" s="30"/>
      <c r="G105" s="30"/>
      <c r="H105" s="30"/>
      <c r="I105" s="30"/>
      <c r="J105" s="30"/>
      <c r="K105" s="30"/>
      <c r="L105" s="30"/>
      <c r="M105" s="30"/>
      <c r="N105" s="30"/>
      <c r="O105" s="30"/>
      <c r="P105" s="7"/>
      <c r="Q105" s="7"/>
      <c r="R105" s="7"/>
      <c r="S105" s="30"/>
      <c r="T105" s="8"/>
      <c r="U105" s="33" t="s">
        <v>390</v>
      </c>
      <c r="V105" s="463">
        <f>59369-52.8</f>
        <v>59316.2</v>
      </c>
      <c r="W105" s="463"/>
      <c r="X105" s="463">
        <v>42898</v>
      </c>
      <c r="Y105" s="463"/>
      <c r="Z105" s="81"/>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row>
    <row r="106" spans="1:59" ht="12">
      <c r="A106" s="45"/>
      <c r="B106" s="81"/>
      <c r="C106" s="21" t="s">
        <v>430</v>
      </c>
      <c r="D106" s="28"/>
      <c r="E106" s="28"/>
      <c r="F106" s="28"/>
      <c r="G106" s="28"/>
      <c r="H106" s="28"/>
      <c r="I106" s="28"/>
      <c r="J106" s="28"/>
      <c r="K106" s="28"/>
      <c r="L106" s="28"/>
      <c r="M106" s="28"/>
      <c r="N106" s="28"/>
      <c r="O106" s="28"/>
      <c r="P106" s="18"/>
      <c r="Q106" s="18"/>
      <c r="R106" s="18"/>
      <c r="S106" s="28"/>
      <c r="T106" s="32"/>
      <c r="U106" s="65" t="s">
        <v>391</v>
      </c>
      <c r="V106" s="474">
        <f>V96-V101</f>
        <v>19860</v>
      </c>
      <c r="W106" s="474"/>
      <c r="X106" s="474">
        <f>X96-X101</f>
        <v>1732</v>
      </c>
      <c r="Y106" s="474"/>
      <c r="Z106" s="81"/>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row>
    <row r="107" spans="1:59" ht="12">
      <c r="A107" s="45"/>
      <c r="B107" s="81"/>
      <c r="C107" s="21" t="s">
        <v>641</v>
      </c>
      <c r="D107" s="28"/>
      <c r="E107" s="28"/>
      <c r="F107" s="28"/>
      <c r="G107" s="28"/>
      <c r="H107" s="28"/>
      <c r="I107" s="28"/>
      <c r="J107" s="28"/>
      <c r="K107" s="28"/>
      <c r="L107" s="28"/>
      <c r="M107" s="28"/>
      <c r="N107" s="28"/>
      <c r="O107" s="28"/>
      <c r="P107" s="18"/>
      <c r="Q107" s="18"/>
      <c r="R107" s="18"/>
      <c r="S107" s="28"/>
      <c r="T107" s="32"/>
      <c r="U107" s="33" t="s">
        <v>642</v>
      </c>
      <c r="V107" s="463"/>
      <c r="W107" s="463"/>
      <c r="X107" s="463"/>
      <c r="Y107" s="463"/>
      <c r="Z107" s="81"/>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row>
    <row r="108" spans="1:59" ht="12">
      <c r="A108" s="45"/>
      <c r="B108" s="81"/>
      <c r="C108" s="21" t="s">
        <v>643</v>
      </c>
      <c r="D108" s="28"/>
      <c r="E108" s="28"/>
      <c r="F108" s="28"/>
      <c r="G108" s="28"/>
      <c r="H108" s="28"/>
      <c r="I108" s="28"/>
      <c r="J108" s="28"/>
      <c r="K108" s="28"/>
      <c r="L108" s="28"/>
      <c r="M108" s="28"/>
      <c r="N108" s="28"/>
      <c r="O108" s="28"/>
      <c r="P108" s="18"/>
      <c r="Q108" s="18"/>
      <c r="R108" s="18"/>
      <c r="S108" s="28"/>
      <c r="T108" s="32"/>
      <c r="U108" s="33" t="s">
        <v>644</v>
      </c>
      <c r="V108" s="463">
        <v>6041</v>
      </c>
      <c r="W108" s="463"/>
      <c r="X108" s="463">
        <v>7851</v>
      </c>
      <c r="Y108" s="463"/>
      <c r="Z108" s="81"/>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row>
    <row r="109" spans="1:59" ht="12">
      <c r="A109" s="45"/>
      <c r="B109" s="81"/>
      <c r="C109" s="21" t="s">
        <v>429</v>
      </c>
      <c r="D109" s="28"/>
      <c r="E109" s="28"/>
      <c r="F109" s="28"/>
      <c r="G109" s="28"/>
      <c r="H109" s="28"/>
      <c r="I109" s="28"/>
      <c r="J109" s="28"/>
      <c r="K109" s="28"/>
      <c r="L109" s="28"/>
      <c r="M109" s="28"/>
      <c r="N109" s="28"/>
      <c r="O109" s="28"/>
      <c r="P109" s="18"/>
      <c r="Q109" s="18"/>
      <c r="R109" s="18"/>
      <c r="S109" s="28"/>
      <c r="T109" s="32"/>
      <c r="U109" s="33" t="s">
        <v>120</v>
      </c>
      <c r="V109" s="473">
        <f>V106-V107-V108</f>
        <v>13819</v>
      </c>
      <c r="W109" s="473"/>
      <c r="X109" s="473">
        <f>X106-X107-X108</f>
        <v>-6119</v>
      </c>
      <c r="Y109" s="473"/>
      <c r="Z109" s="81"/>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row>
    <row r="110" spans="1:59" ht="12">
      <c r="A110" s="45"/>
      <c r="B110" s="81"/>
      <c r="C110" s="41" t="s">
        <v>466</v>
      </c>
      <c r="D110" s="42"/>
      <c r="E110" s="42"/>
      <c r="F110" s="42"/>
      <c r="G110" s="42"/>
      <c r="H110" s="42"/>
      <c r="I110" s="42"/>
      <c r="J110" s="42"/>
      <c r="K110" s="42"/>
      <c r="L110" s="42"/>
      <c r="M110" s="42"/>
      <c r="N110" s="42"/>
      <c r="O110" s="42"/>
      <c r="P110" s="6"/>
      <c r="Q110" s="6"/>
      <c r="R110" s="6"/>
      <c r="S110" s="42"/>
      <c r="T110" s="6"/>
      <c r="U110" s="42"/>
      <c r="V110" s="42"/>
      <c r="W110" s="42"/>
      <c r="X110" s="42"/>
      <c r="Y110" s="43"/>
      <c r="Z110" s="81"/>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row>
    <row r="111" spans="1:59" ht="12">
      <c r="A111" s="45"/>
      <c r="B111" s="81"/>
      <c r="C111" s="21" t="s">
        <v>140</v>
      </c>
      <c r="D111" s="28"/>
      <c r="E111" s="28"/>
      <c r="F111" s="28"/>
      <c r="G111" s="28"/>
      <c r="H111" s="28"/>
      <c r="I111" s="28"/>
      <c r="J111" s="28"/>
      <c r="K111" s="28"/>
      <c r="L111" s="28"/>
      <c r="M111" s="28"/>
      <c r="N111" s="28"/>
      <c r="O111" s="28"/>
      <c r="P111" s="18"/>
      <c r="Q111" s="18"/>
      <c r="R111" s="18"/>
      <c r="S111" s="28"/>
      <c r="T111" s="32"/>
      <c r="U111" s="33" t="s">
        <v>145</v>
      </c>
      <c r="V111" s="463"/>
      <c r="W111" s="463"/>
      <c r="X111" s="463"/>
      <c r="Y111" s="463"/>
      <c r="Z111" s="81"/>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row>
    <row r="112" spans="1:59" ht="12">
      <c r="A112" s="45"/>
      <c r="B112" s="81"/>
      <c r="C112" s="21" t="s">
        <v>141</v>
      </c>
      <c r="D112" s="28"/>
      <c r="E112" s="28"/>
      <c r="F112" s="28"/>
      <c r="G112" s="28"/>
      <c r="H112" s="28"/>
      <c r="I112" s="28"/>
      <c r="J112" s="28"/>
      <c r="K112" s="28"/>
      <c r="L112" s="28"/>
      <c r="M112" s="28"/>
      <c r="N112" s="28"/>
      <c r="O112" s="28"/>
      <c r="P112" s="18"/>
      <c r="Q112" s="18"/>
      <c r="R112" s="18"/>
      <c r="S112" s="28"/>
      <c r="T112" s="32"/>
      <c r="U112" s="33" t="s">
        <v>146</v>
      </c>
      <c r="V112" s="463"/>
      <c r="W112" s="463"/>
      <c r="X112" s="463"/>
      <c r="Y112" s="463"/>
      <c r="Z112" s="81"/>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row>
    <row r="113" spans="1:59" ht="12">
      <c r="A113" s="45"/>
      <c r="B113" s="81"/>
      <c r="C113" s="21" t="s">
        <v>142</v>
      </c>
      <c r="D113" s="28"/>
      <c r="E113" s="28"/>
      <c r="F113" s="28"/>
      <c r="G113" s="28"/>
      <c r="H113" s="28"/>
      <c r="I113" s="28"/>
      <c r="J113" s="28"/>
      <c r="K113" s="28"/>
      <c r="L113" s="28"/>
      <c r="M113" s="28"/>
      <c r="N113" s="28"/>
      <c r="O113" s="28"/>
      <c r="P113" s="18"/>
      <c r="Q113" s="18"/>
      <c r="R113" s="18"/>
      <c r="S113" s="28"/>
      <c r="T113" s="32"/>
      <c r="U113" s="33" t="s">
        <v>147</v>
      </c>
      <c r="V113" s="463"/>
      <c r="W113" s="463"/>
      <c r="X113" s="463"/>
      <c r="Y113" s="463"/>
      <c r="Z113" s="81"/>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row>
    <row r="114" spans="1:59" ht="12">
      <c r="A114" s="45"/>
      <c r="B114" s="81"/>
      <c r="C114" s="21" t="s">
        <v>143</v>
      </c>
      <c r="D114" s="28"/>
      <c r="E114" s="28"/>
      <c r="F114" s="28"/>
      <c r="G114" s="28"/>
      <c r="H114" s="28"/>
      <c r="I114" s="28"/>
      <c r="J114" s="28"/>
      <c r="K114" s="28"/>
      <c r="L114" s="28"/>
      <c r="M114" s="28"/>
      <c r="N114" s="28"/>
      <c r="O114" s="28"/>
      <c r="P114" s="18"/>
      <c r="Q114" s="18"/>
      <c r="R114" s="18"/>
      <c r="S114" s="28"/>
      <c r="T114" s="32"/>
      <c r="U114" s="33" t="s">
        <v>148</v>
      </c>
      <c r="V114" s="463">
        <v>46</v>
      </c>
      <c r="W114" s="463"/>
      <c r="X114" s="463">
        <v>3243</v>
      </c>
      <c r="Y114" s="463"/>
      <c r="Z114" s="81"/>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row>
    <row r="115" spans="1:59" ht="12">
      <c r="A115" s="45"/>
      <c r="B115" s="81"/>
      <c r="C115" s="21" t="s">
        <v>144</v>
      </c>
      <c r="D115" s="28"/>
      <c r="E115" s="28"/>
      <c r="F115" s="28"/>
      <c r="G115" s="28"/>
      <c r="H115" s="28"/>
      <c r="I115" s="28"/>
      <c r="J115" s="28"/>
      <c r="K115" s="28"/>
      <c r="L115" s="28"/>
      <c r="M115" s="28"/>
      <c r="N115" s="28"/>
      <c r="O115" s="28"/>
      <c r="P115" s="18"/>
      <c r="Q115" s="18"/>
      <c r="R115" s="18"/>
      <c r="S115" s="28"/>
      <c r="T115" s="32"/>
      <c r="U115" s="33" t="s">
        <v>149</v>
      </c>
      <c r="V115" s="463">
        <v>9689</v>
      </c>
      <c r="W115" s="463"/>
      <c r="X115" s="463">
        <v>2433</v>
      </c>
      <c r="Y115" s="463"/>
      <c r="Z115" s="81"/>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row>
    <row r="116" spans="1:59" ht="12">
      <c r="A116" s="45"/>
      <c r="B116" s="81"/>
      <c r="C116" s="41" t="s">
        <v>467</v>
      </c>
      <c r="D116" s="42"/>
      <c r="E116" s="42"/>
      <c r="F116" s="42"/>
      <c r="G116" s="42"/>
      <c r="H116" s="42"/>
      <c r="I116" s="42"/>
      <c r="J116" s="42"/>
      <c r="K116" s="42"/>
      <c r="L116" s="42"/>
      <c r="M116" s="42"/>
      <c r="N116" s="42"/>
      <c r="O116" s="42"/>
      <c r="P116" s="6"/>
      <c r="Q116" s="6"/>
      <c r="R116" s="6"/>
      <c r="S116" s="42"/>
      <c r="T116" s="6"/>
      <c r="U116" s="42"/>
      <c r="V116" s="42"/>
      <c r="W116" s="42"/>
      <c r="X116" s="42"/>
      <c r="Y116" s="43"/>
      <c r="Z116" s="81"/>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row>
    <row r="117" spans="1:59" ht="12">
      <c r="A117" s="45"/>
      <c r="B117" s="81"/>
      <c r="C117" s="21" t="s">
        <v>392</v>
      </c>
      <c r="D117" s="28"/>
      <c r="E117" s="28"/>
      <c r="F117" s="28"/>
      <c r="G117" s="28"/>
      <c r="H117" s="28"/>
      <c r="I117" s="28"/>
      <c r="J117" s="28"/>
      <c r="K117" s="28"/>
      <c r="L117" s="28"/>
      <c r="M117" s="28"/>
      <c r="N117" s="28"/>
      <c r="O117" s="28"/>
      <c r="P117" s="18"/>
      <c r="Q117" s="18"/>
      <c r="R117" s="18"/>
      <c r="S117" s="28"/>
      <c r="T117" s="32"/>
      <c r="U117" s="33" t="s">
        <v>150</v>
      </c>
      <c r="V117" s="463"/>
      <c r="W117" s="463"/>
      <c r="X117" s="463"/>
      <c r="Y117" s="463"/>
      <c r="Z117" s="81"/>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row>
    <row r="118" spans="1:59" ht="12">
      <c r="A118" s="45"/>
      <c r="B118" s="81"/>
      <c r="C118" s="21" t="s">
        <v>435</v>
      </c>
      <c r="D118" s="28"/>
      <c r="E118" s="28"/>
      <c r="F118" s="28"/>
      <c r="G118" s="28"/>
      <c r="H118" s="28"/>
      <c r="I118" s="28"/>
      <c r="J118" s="28"/>
      <c r="K118" s="28"/>
      <c r="L118" s="28"/>
      <c r="M118" s="28"/>
      <c r="N118" s="28"/>
      <c r="O118" s="28"/>
      <c r="P118" s="18"/>
      <c r="Q118" s="18"/>
      <c r="R118" s="18"/>
      <c r="S118" s="28"/>
      <c r="T118" s="32"/>
      <c r="U118" s="33" t="s">
        <v>151</v>
      </c>
      <c r="V118" s="463"/>
      <c r="W118" s="463"/>
      <c r="X118" s="463"/>
      <c r="Y118" s="463"/>
      <c r="Z118" s="81"/>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row>
    <row r="119" spans="1:59" ht="12">
      <c r="A119" s="45"/>
      <c r="B119" s="81"/>
      <c r="C119" s="21" t="s">
        <v>431</v>
      </c>
      <c r="D119" s="28"/>
      <c r="E119" s="28"/>
      <c r="F119" s="28"/>
      <c r="G119" s="28"/>
      <c r="H119" s="28"/>
      <c r="I119" s="28"/>
      <c r="J119" s="28"/>
      <c r="K119" s="28"/>
      <c r="L119" s="28"/>
      <c r="M119" s="28"/>
      <c r="N119" s="28"/>
      <c r="O119" s="28"/>
      <c r="P119" s="18"/>
      <c r="Q119" s="18"/>
      <c r="R119" s="18"/>
      <c r="S119" s="28"/>
      <c r="T119" s="32"/>
      <c r="U119" s="33" t="s">
        <v>645</v>
      </c>
      <c r="V119" s="473">
        <f>V109+V111-V112+V113+V114-V115+V117-V118</f>
        <v>4176</v>
      </c>
      <c r="W119" s="473"/>
      <c r="X119" s="473">
        <f>X109+X111-X112+X113+X114-X115+X117-X118</f>
        <v>-5309</v>
      </c>
      <c r="Y119" s="473"/>
      <c r="Z119" s="81"/>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row>
    <row r="120" spans="1:59" ht="12">
      <c r="A120" s="45"/>
      <c r="B120" s="81"/>
      <c r="C120" s="21" t="s">
        <v>682</v>
      </c>
      <c r="D120" s="28"/>
      <c r="E120" s="28"/>
      <c r="F120" s="28"/>
      <c r="G120" s="28"/>
      <c r="H120" s="28"/>
      <c r="I120" s="28"/>
      <c r="J120" s="28"/>
      <c r="K120" s="28"/>
      <c r="L120" s="28"/>
      <c r="M120" s="28"/>
      <c r="N120" s="28"/>
      <c r="O120" s="28"/>
      <c r="P120" s="18"/>
      <c r="Q120" s="18"/>
      <c r="R120" s="18"/>
      <c r="S120" s="28"/>
      <c r="T120" s="32"/>
      <c r="U120" s="33" t="s">
        <v>687</v>
      </c>
      <c r="V120" s="463">
        <v>638</v>
      </c>
      <c r="W120" s="463"/>
      <c r="X120" s="463">
        <v>0</v>
      </c>
      <c r="Y120" s="463"/>
      <c r="Z120" s="81"/>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row>
    <row r="121" spans="1:59" ht="12">
      <c r="A121" s="45"/>
      <c r="B121" s="81"/>
      <c r="C121" s="21" t="s">
        <v>686</v>
      </c>
      <c r="D121" s="28"/>
      <c r="E121" s="28"/>
      <c r="F121" s="28"/>
      <c r="G121" s="28"/>
      <c r="H121" s="28"/>
      <c r="I121" s="28"/>
      <c r="J121" s="28"/>
      <c r="K121" s="28"/>
      <c r="L121" s="28"/>
      <c r="M121" s="28"/>
      <c r="N121" s="28"/>
      <c r="O121" s="28"/>
      <c r="P121" s="18"/>
      <c r="Q121" s="18"/>
      <c r="R121" s="18"/>
      <c r="S121" s="28"/>
      <c r="T121" s="32"/>
      <c r="U121" s="33" t="s">
        <v>688</v>
      </c>
      <c r="V121" s="463">
        <v>621</v>
      </c>
      <c r="W121" s="463"/>
      <c r="X121" s="463">
        <v>35</v>
      </c>
      <c r="Y121" s="463"/>
      <c r="Z121" s="81"/>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row>
    <row r="122" spans="1:59" ht="12">
      <c r="A122" s="45"/>
      <c r="B122" s="81"/>
      <c r="C122" s="21" t="s">
        <v>432</v>
      </c>
      <c r="D122" s="28"/>
      <c r="E122" s="28"/>
      <c r="F122" s="28"/>
      <c r="G122" s="28"/>
      <c r="H122" s="28"/>
      <c r="I122" s="28"/>
      <c r="J122" s="28"/>
      <c r="K122" s="28"/>
      <c r="L122" s="28"/>
      <c r="M122" s="28"/>
      <c r="N122" s="28"/>
      <c r="O122" s="28"/>
      <c r="P122" s="18"/>
      <c r="Q122" s="18"/>
      <c r="R122" s="18"/>
      <c r="S122" s="28"/>
      <c r="T122" s="32"/>
      <c r="U122" s="35">
        <v>150</v>
      </c>
      <c r="V122" s="463">
        <v>1174</v>
      </c>
      <c r="W122" s="463"/>
      <c r="X122" s="463">
        <v>0</v>
      </c>
      <c r="Y122" s="463"/>
      <c r="Z122" s="81"/>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row>
    <row r="123" spans="1:59" ht="12">
      <c r="A123" s="45"/>
      <c r="B123" s="81"/>
      <c r="C123" s="21" t="s">
        <v>366</v>
      </c>
      <c r="D123" s="28"/>
      <c r="E123" s="28"/>
      <c r="F123" s="28"/>
      <c r="G123" s="28"/>
      <c r="H123" s="28"/>
      <c r="I123" s="28"/>
      <c r="J123" s="28"/>
      <c r="K123" s="28"/>
      <c r="L123" s="28"/>
      <c r="M123" s="28"/>
      <c r="N123" s="28"/>
      <c r="O123" s="28"/>
      <c r="P123" s="18"/>
      <c r="Q123" s="18"/>
      <c r="R123" s="18"/>
      <c r="S123" s="28"/>
      <c r="T123" s="32"/>
      <c r="U123" s="35">
        <v>160</v>
      </c>
      <c r="V123" s="473">
        <f>V119-V122-V120+V121</f>
        <v>2985</v>
      </c>
      <c r="W123" s="473"/>
      <c r="X123" s="473">
        <f>X119-X122-X120+X121</f>
        <v>-5274</v>
      </c>
      <c r="Y123" s="473"/>
      <c r="Z123" s="81"/>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row>
    <row r="124" spans="1:59" ht="12">
      <c r="A124" s="45"/>
      <c r="B124" s="81"/>
      <c r="C124" s="41" t="s">
        <v>433</v>
      </c>
      <c r="D124" s="42"/>
      <c r="E124" s="42"/>
      <c r="F124" s="42"/>
      <c r="G124" s="42"/>
      <c r="H124" s="42"/>
      <c r="I124" s="42"/>
      <c r="J124" s="42"/>
      <c r="K124" s="42"/>
      <c r="L124" s="42"/>
      <c r="M124" s="42"/>
      <c r="N124" s="42"/>
      <c r="O124" s="42"/>
      <c r="P124" s="6"/>
      <c r="Q124" s="6"/>
      <c r="R124" s="6"/>
      <c r="S124" s="42"/>
      <c r="T124" s="6"/>
      <c r="U124" s="42"/>
      <c r="V124" s="42"/>
      <c r="W124" s="42"/>
      <c r="X124" s="42"/>
      <c r="Y124" s="43"/>
      <c r="Z124" s="81"/>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row>
    <row r="125" spans="1:59" ht="12">
      <c r="A125" s="45"/>
      <c r="B125" s="81"/>
      <c r="C125" s="21" t="s">
        <v>436</v>
      </c>
      <c r="D125" s="28"/>
      <c r="E125" s="28"/>
      <c r="F125" s="28"/>
      <c r="G125" s="28"/>
      <c r="H125" s="28"/>
      <c r="I125" s="28"/>
      <c r="J125" s="28"/>
      <c r="K125" s="28"/>
      <c r="L125" s="28"/>
      <c r="M125" s="28"/>
      <c r="N125" s="28"/>
      <c r="O125" s="28"/>
      <c r="P125" s="18"/>
      <c r="Q125" s="18"/>
      <c r="R125" s="18"/>
      <c r="S125" s="28"/>
      <c r="T125" s="32"/>
      <c r="U125" s="35">
        <v>170</v>
      </c>
      <c r="V125" s="463"/>
      <c r="W125" s="463"/>
      <c r="X125" s="463"/>
      <c r="Y125" s="463"/>
      <c r="Z125" s="81"/>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row>
    <row r="126" spans="1:59" ht="12">
      <c r="A126" s="45"/>
      <c r="B126" s="81"/>
      <c r="C126" s="21" t="s">
        <v>437</v>
      </c>
      <c r="D126" s="28"/>
      <c r="E126" s="28"/>
      <c r="F126" s="28"/>
      <c r="G126" s="28"/>
      <c r="H126" s="28"/>
      <c r="I126" s="28"/>
      <c r="J126" s="28"/>
      <c r="K126" s="28"/>
      <c r="L126" s="28"/>
      <c r="M126" s="28"/>
      <c r="N126" s="28"/>
      <c r="O126" s="28"/>
      <c r="P126" s="18"/>
      <c r="Q126" s="18"/>
      <c r="R126" s="18"/>
      <c r="S126" s="28"/>
      <c r="T126" s="32"/>
      <c r="U126" s="35">
        <v>180</v>
      </c>
      <c r="V126" s="463"/>
      <c r="W126" s="463"/>
      <c r="X126" s="463"/>
      <c r="Y126" s="463"/>
      <c r="Z126" s="81"/>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row>
    <row r="127" spans="1:59" ht="12">
      <c r="A127" s="45"/>
      <c r="B127" s="81"/>
      <c r="C127" s="21" t="s">
        <v>434</v>
      </c>
      <c r="D127" s="28"/>
      <c r="E127" s="28"/>
      <c r="F127" s="28"/>
      <c r="G127" s="28"/>
      <c r="H127" s="28"/>
      <c r="I127" s="28"/>
      <c r="J127" s="28"/>
      <c r="K127" s="28"/>
      <c r="L127" s="28"/>
      <c r="M127" s="28"/>
      <c r="N127" s="28"/>
      <c r="O127" s="28"/>
      <c r="P127" s="18"/>
      <c r="Q127" s="18"/>
      <c r="R127" s="18"/>
      <c r="S127" s="28"/>
      <c r="T127" s="32"/>
      <c r="U127" s="35">
        <v>190</v>
      </c>
      <c r="V127" s="473">
        <f>V123+V125-V126</f>
        <v>2985</v>
      </c>
      <c r="W127" s="473"/>
      <c r="X127" s="473">
        <f>X123+X125-X126</f>
        <v>-5274</v>
      </c>
      <c r="Y127" s="473"/>
      <c r="Z127" s="81"/>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row>
    <row r="128" spans="1:59" ht="12">
      <c r="A128" s="45"/>
      <c r="B128" s="81"/>
      <c r="C128" s="21" t="s">
        <v>263</v>
      </c>
      <c r="D128" s="28"/>
      <c r="E128" s="28"/>
      <c r="F128" s="28"/>
      <c r="G128" s="28"/>
      <c r="H128" s="28"/>
      <c r="I128" s="28"/>
      <c r="J128" s="28"/>
      <c r="K128" s="28"/>
      <c r="L128" s="28"/>
      <c r="M128" s="28"/>
      <c r="N128" s="28"/>
      <c r="O128" s="28"/>
      <c r="P128" s="18"/>
      <c r="Q128" s="18"/>
      <c r="R128" s="18"/>
      <c r="S128" s="28"/>
      <c r="T128" s="32"/>
      <c r="U128" s="35">
        <v>201</v>
      </c>
      <c r="V128" s="468"/>
      <c r="W128" s="469"/>
      <c r="X128" s="469"/>
      <c r="Y128" s="470"/>
      <c r="Z128" s="81"/>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row>
    <row r="129" spans="1:59" ht="12">
      <c r="A129" s="45"/>
      <c r="B129" s="81"/>
      <c r="C129" s="21" t="s">
        <v>264</v>
      </c>
      <c r="D129" s="28"/>
      <c r="E129" s="28"/>
      <c r="F129" s="28"/>
      <c r="G129" s="28"/>
      <c r="H129" s="28"/>
      <c r="I129" s="28"/>
      <c r="J129" s="28"/>
      <c r="K129" s="28"/>
      <c r="L129" s="28"/>
      <c r="M129" s="28"/>
      <c r="N129" s="28"/>
      <c r="O129" s="28"/>
      <c r="P129" s="18"/>
      <c r="Q129" s="18"/>
      <c r="R129" s="18"/>
      <c r="S129" s="28"/>
      <c r="T129" s="32"/>
      <c r="U129" s="35">
        <v>202</v>
      </c>
      <c r="V129" s="468"/>
      <c r="W129" s="469"/>
      <c r="X129" s="471"/>
      <c r="Y129" s="472"/>
      <c r="Z129" s="81"/>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row>
    <row r="130" spans="1:59" ht="12">
      <c r="A130" s="45"/>
      <c r="B130" s="81"/>
      <c r="C130" s="166" t="str">
        <f>$C$15</f>
        <v>ООО"ПИК-ПОДЪЕМ" </v>
      </c>
      <c r="D130" s="164"/>
      <c r="E130" s="164"/>
      <c r="F130" s="164"/>
      <c r="G130" s="164"/>
      <c r="H130" s="164"/>
      <c r="I130" s="164"/>
      <c r="J130" s="164"/>
      <c r="K130" s="164"/>
      <c r="L130" s="164"/>
      <c r="M130" s="168"/>
      <c r="N130" s="168"/>
      <c r="O130" s="168"/>
      <c r="P130" s="169"/>
      <c r="Q130" s="169"/>
      <c r="R130" s="169"/>
      <c r="S130" s="168"/>
      <c r="T130" s="169"/>
      <c r="U130" s="177" t="s">
        <v>121</v>
      </c>
      <c r="V130" s="174"/>
      <c r="W130" s="174"/>
      <c r="X130" s="174"/>
      <c r="Y130" s="174"/>
      <c r="Z130" s="81"/>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row>
    <row r="131" spans="1:59" ht="12.75">
      <c r="A131" s="45"/>
      <c r="B131" s="81"/>
      <c r="C131" s="170" t="s">
        <v>125</v>
      </c>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81"/>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row>
    <row r="132" spans="1:59" ht="12.75">
      <c r="A132" s="45"/>
      <c r="B132" s="81"/>
      <c r="C132" s="163" t="str">
        <f>C17</f>
        <v>на 30.06.2010 г.</v>
      </c>
      <c r="D132" s="164"/>
      <c r="E132" s="164"/>
      <c r="F132" s="164"/>
      <c r="G132" s="164"/>
      <c r="H132" s="164"/>
      <c r="I132" s="164"/>
      <c r="J132" s="164"/>
      <c r="K132" s="164"/>
      <c r="L132" s="164"/>
      <c r="M132" s="164"/>
      <c r="N132" s="164"/>
      <c r="O132" s="164"/>
      <c r="P132" s="171"/>
      <c r="Q132" s="171"/>
      <c r="R132" s="171"/>
      <c r="S132" s="164"/>
      <c r="T132" s="171"/>
      <c r="U132" s="164"/>
      <c r="V132" s="164"/>
      <c r="W132" s="164"/>
      <c r="X132" s="164"/>
      <c r="Y132" s="164"/>
      <c r="Z132" s="81"/>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row>
    <row r="133" spans="1:59" ht="12">
      <c r="A133" s="45"/>
      <c r="B133" s="81"/>
      <c r="C133" s="165" t="s">
        <v>162</v>
      </c>
      <c r="D133" s="164"/>
      <c r="E133" s="164"/>
      <c r="F133" s="164"/>
      <c r="G133" s="164"/>
      <c r="H133" s="164"/>
      <c r="I133" s="164"/>
      <c r="J133" s="164"/>
      <c r="K133" s="164"/>
      <c r="L133" s="164"/>
      <c r="M133" s="164"/>
      <c r="N133" s="164"/>
      <c r="O133" s="164"/>
      <c r="P133" s="171"/>
      <c r="Q133" s="171"/>
      <c r="R133" s="171"/>
      <c r="S133" s="164"/>
      <c r="T133" s="171"/>
      <c r="U133" s="164"/>
      <c r="V133" s="164"/>
      <c r="W133" s="164"/>
      <c r="X133" s="164"/>
      <c r="Y133" s="164"/>
      <c r="Z133" s="81"/>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row>
    <row r="134" spans="1:59" ht="11.25">
      <c r="A134" s="45"/>
      <c r="B134" s="81"/>
      <c r="C134" s="46" t="s">
        <v>131</v>
      </c>
      <c r="D134" s="47"/>
      <c r="E134" s="47"/>
      <c r="F134" s="47"/>
      <c r="G134" s="47"/>
      <c r="H134" s="47"/>
      <c r="I134" s="47"/>
      <c r="J134" s="47"/>
      <c r="K134" s="47"/>
      <c r="L134" s="47"/>
      <c r="M134" s="47"/>
      <c r="N134" s="47"/>
      <c r="O134" s="47"/>
      <c r="P134" s="49"/>
      <c r="Q134" s="48" t="s">
        <v>111</v>
      </c>
      <c r="R134" s="46" t="s">
        <v>159</v>
      </c>
      <c r="S134" s="49"/>
      <c r="T134" s="46" t="s">
        <v>122</v>
      </c>
      <c r="U134" s="49"/>
      <c r="V134" s="73"/>
      <c r="W134" s="49"/>
      <c r="X134" s="46" t="s">
        <v>159</v>
      </c>
      <c r="Y134" s="49"/>
      <c r="Z134" s="81"/>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row>
    <row r="135" spans="1:59" ht="11.25">
      <c r="A135" s="45"/>
      <c r="B135" s="81"/>
      <c r="C135" s="50" t="s">
        <v>132</v>
      </c>
      <c r="D135" s="51"/>
      <c r="E135" s="51"/>
      <c r="F135" s="51"/>
      <c r="G135" s="51"/>
      <c r="H135" s="51"/>
      <c r="I135" s="51"/>
      <c r="J135" s="51"/>
      <c r="K135" s="51"/>
      <c r="L135" s="51"/>
      <c r="M135" s="51"/>
      <c r="N135" s="51"/>
      <c r="O135" s="51"/>
      <c r="P135" s="53"/>
      <c r="Q135" s="52" t="s">
        <v>112</v>
      </c>
      <c r="R135" s="50" t="s">
        <v>181</v>
      </c>
      <c r="S135" s="53"/>
      <c r="T135" s="50" t="s">
        <v>160</v>
      </c>
      <c r="U135" s="53"/>
      <c r="V135" s="50" t="s">
        <v>123</v>
      </c>
      <c r="W135" s="53"/>
      <c r="X135" s="50" t="s">
        <v>182</v>
      </c>
      <c r="Y135" s="53"/>
      <c r="Z135" s="81"/>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row>
    <row r="136" spans="1:59" ht="11.25">
      <c r="A136" s="45"/>
      <c r="B136" s="81"/>
      <c r="C136" s="25">
        <v>1</v>
      </c>
      <c r="D136" s="29"/>
      <c r="E136" s="29"/>
      <c r="F136" s="29"/>
      <c r="G136" s="29"/>
      <c r="H136" s="29"/>
      <c r="I136" s="29"/>
      <c r="J136" s="29"/>
      <c r="K136" s="29"/>
      <c r="L136" s="29"/>
      <c r="M136" s="29"/>
      <c r="N136" s="29"/>
      <c r="O136" s="29"/>
      <c r="P136" s="44"/>
      <c r="Q136" s="54">
        <v>2</v>
      </c>
      <c r="R136" s="25">
        <v>3</v>
      </c>
      <c r="S136" s="44"/>
      <c r="T136" s="25">
        <v>4</v>
      </c>
      <c r="U136" s="44"/>
      <c r="V136" s="25">
        <v>5</v>
      </c>
      <c r="W136" s="44"/>
      <c r="X136" s="25">
        <v>6</v>
      </c>
      <c r="Y136" s="44"/>
      <c r="Z136" s="81"/>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row>
    <row r="137" spans="1:59" ht="12">
      <c r="A137" s="45"/>
      <c r="B137" s="81"/>
      <c r="C137" s="61" t="s">
        <v>492</v>
      </c>
      <c r="D137" s="62"/>
      <c r="E137" s="62"/>
      <c r="F137" s="62"/>
      <c r="G137" s="62"/>
      <c r="H137" s="62"/>
      <c r="I137" s="62"/>
      <c r="J137" s="62"/>
      <c r="K137" s="62"/>
      <c r="L137" s="62"/>
      <c r="M137" s="62"/>
      <c r="N137" s="62"/>
      <c r="O137" s="62"/>
      <c r="P137" s="63"/>
      <c r="Q137" s="63"/>
      <c r="R137" s="63"/>
      <c r="S137" s="62"/>
      <c r="T137" s="63"/>
      <c r="U137" s="62"/>
      <c r="V137" s="62"/>
      <c r="W137" s="62"/>
      <c r="X137" s="62"/>
      <c r="Y137" s="64"/>
      <c r="Z137" s="81"/>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row>
    <row r="138" spans="1:59" ht="12">
      <c r="A138" s="45"/>
      <c r="B138" s="81"/>
      <c r="C138" s="21" t="s">
        <v>493</v>
      </c>
      <c r="D138" s="66"/>
      <c r="E138" s="66"/>
      <c r="F138" s="66"/>
      <c r="G138" s="66"/>
      <c r="H138" s="66"/>
      <c r="I138" s="66"/>
      <c r="J138" s="66"/>
      <c r="K138" s="66"/>
      <c r="L138" s="66"/>
      <c r="M138" s="66"/>
      <c r="N138" s="66"/>
      <c r="O138" s="66"/>
      <c r="P138" s="67"/>
      <c r="Q138" s="69">
        <v>360</v>
      </c>
      <c r="R138" s="463"/>
      <c r="S138" s="463"/>
      <c r="T138" s="463"/>
      <c r="U138" s="463"/>
      <c r="V138" s="463"/>
      <c r="W138" s="463"/>
      <c r="X138" s="473">
        <f>R138+T138-V138</f>
        <v>0</v>
      </c>
      <c r="Y138" s="473"/>
      <c r="Z138" s="81"/>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row>
    <row r="139" spans="1:59" ht="12">
      <c r="A139" s="45"/>
      <c r="B139" s="81"/>
      <c r="C139" s="21" t="s">
        <v>163</v>
      </c>
      <c r="D139" s="30"/>
      <c r="E139" s="30"/>
      <c r="F139" s="30"/>
      <c r="G139" s="30"/>
      <c r="H139" s="30"/>
      <c r="I139" s="30"/>
      <c r="J139" s="30"/>
      <c r="K139" s="30"/>
      <c r="L139" s="30"/>
      <c r="M139" s="30"/>
      <c r="N139" s="30"/>
      <c r="O139" s="30"/>
      <c r="P139" s="8"/>
      <c r="Q139" s="68">
        <v>361</v>
      </c>
      <c r="R139" s="463">
        <v>53.304</v>
      </c>
      <c r="S139" s="463"/>
      <c r="T139" s="463"/>
      <c r="U139" s="463"/>
      <c r="V139" s="463">
        <v>22.719</v>
      </c>
      <c r="W139" s="463"/>
      <c r="X139" s="473">
        <f aca="true" t="shared" si="0" ref="X139:X147">R139+T139-V139</f>
        <v>30.585</v>
      </c>
      <c r="Y139" s="473"/>
      <c r="Z139" s="81"/>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row>
    <row r="140" spans="1:59" ht="12">
      <c r="A140" s="45"/>
      <c r="B140" s="81"/>
      <c r="C140" s="21" t="s">
        <v>164</v>
      </c>
      <c r="D140" s="30"/>
      <c r="E140" s="30"/>
      <c r="F140" s="30"/>
      <c r="G140" s="30"/>
      <c r="H140" s="30"/>
      <c r="I140" s="30"/>
      <c r="J140" s="30"/>
      <c r="K140" s="30"/>
      <c r="L140" s="30"/>
      <c r="M140" s="30"/>
      <c r="N140" s="30"/>
      <c r="O140" s="30"/>
      <c r="P140" s="8"/>
      <c r="Q140" s="68">
        <v>362</v>
      </c>
      <c r="R140" s="463">
        <v>1669.491</v>
      </c>
      <c r="S140" s="463"/>
      <c r="T140" s="463"/>
      <c r="U140" s="463"/>
      <c r="V140" s="463">
        <v>1199.884</v>
      </c>
      <c r="W140" s="463"/>
      <c r="X140" s="473">
        <f t="shared" si="0"/>
        <v>469.60699999999997</v>
      </c>
      <c r="Y140" s="473"/>
      <c r="Z140" s="81"/>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row>
    <row r="141" spans="1:59" ht="12">
      <c r="A141" s="45"/>
      <c r="B141" s="81"/>
      <c r="C141" s="21" t="s">
        <v>165</v>
      </c>
      <c r="D141" s="30"/>
      <c r="E141" s="30"/>
      <c r="F141" s="30"/>
      <c r="G141" s="30"/>
      <c r="H141" s="30"/>
      <c r="I141" s="30"/>
      <c r="J141" s="30"/>
      <c r="K141" s="30"/>
      <c r="L141" s="30"/>
      <c r="M141" s="30"/>
      <c r="N141" s="30"/>
      <c r="O141" s="30"/>
      <c r="P141" s="8"/>
      <c r="Q141" s="68">
        <v>363</v>
      </c>
      <c r="R141" s="463">
        <v>1261.708</v>
      </c>
      <c r="S141" s="463"/>
      <c r="T141" s="463"/>
      <c r="U141" s="463"/>
      <c r="V141" s="463">
        <v>917.267</v>
      </c>
      <c r="W141" s="463"/>
      <c r="X141" s="473">
        <f t="shared" si="0"/>
        <v>344.44100000000003</v>
      </c>
      <c r="Y141" s="473"/>
      <c r="Z141" s="81"/>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row>
    <row r="142" spans="1:59" ht="12">
      <c r="A142" s="45"/>
      <c r="B142" s="81"/>
      <c r="C142" s="21" t="s">
        <v>166</v>
      </c>
      <c r="D142" s="30"/>
      <c r="E142" s="30"/>
      <c r="F142" s="30"/>
      <c r="G142" s="30"/>
      <c r="H142" s="30"/>
      <c r="I142" s="30"/>
      <c r="J142" s="30"/>
      <c r="K142" s="30"/>
      <c r="L142" s="30"/>
      <c r="M142" s="30"/>
      <c r="N142" s="30"/>
      <c r="O142" s="30"/>
      <c r="P142" s="8"/>
      <c r="Q142" s="68">
        <v>364</v>
      </c>
      <c r="R142" s="463">
        <v>371.213</v>
      </c>
      <c r="S142" s="463"/>
      <c r="T142" s="463"/>
      <c r="U142" s="463"/>
      <c r="V142" s="463">
        <v>259.849</v>
      </c>
      <c r="W142" s="463"/>
      <c r="X142" s="473">
        <f t="shared" si="0"/>
        <v>111.36400000000003</v>
      </c>
      <c r="Y142" s="473"/>
      <c r="Z142" s="81"/>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row>
    <row r="143" spans="1:59" ht="12">
      <c r="A143" s="45"/>
      <c r="B143" s="81"/>
      <c r="C143" s="21" t="s">
        <v>167</v>
      </c>
      <c r="D143" s="30"/>
      <c r="E143" s="30"/>
      <c r="F143" s="30"/>
      <c r="G143" s="30"/>
      <c r="H143" s="30"/>
      <c r="I143" s="30"/>
      <c r="J143" s="30"/>
      <c r="K143" s="30"/>
      <c r="L143" s="30"/>
      <c r="M143" s="30"/>
      <c r="N143" s="30"/>
      <c r="O143" s="30"/>
      <c r="P143" s="8"/>
      <c r="Q143" s="68">
        <v>365</v>
      </c>
      <c r="R143" s="463">
        <v>342.583</v>
      </c>
      <c r="S143" s="463"/>
      <c r="T143" s="463"/>
      <c r="U143" s="463"/>
      <c r="V143" s="463">
        <v>191.549</v>
      </c>
      <c r="W143" s="463"/>
      <c r="X143" s="473">
        <f t="shared" si="0"/>
        <v>151.03400000000002</v>
      </c>
      <c r="Y143" s="473"/>
      <c r="Z143" s="81"/>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row>
    <row r="144" spans="1:59" ht="12">
      <c r="A144" s="45"/>
      <c r="B144" s="81"/>
      <c r="C144" s="21" t="s">
        <v>168</v>
      </c>
      <c r="D144" s="30"/>
      <c r="E144" s="30"/>
      <c r="F144" s="30"/>
      <c r="G144" s="30"/>
      <c r="H144" s="30"/>
      <c r="I144" s="30"/>
      <c r="J144" s="30"/>
      <c r="K144" s="30"/>
      <c r="L144" s="30"/>
      <c r="M144" s="30"/>
      <c r="N144" s="30"/>
      <c r="O144" s="30"/>
      <c r="P144" s="8"/>
      <c r="Q144" s="68">
        <v>366</v>
      </c>
      <c r="R144" s="463"/>
      <c r="S144" s="463"/>
      <c r="T144" s="463"/>
      <c r="U144" s="463"/>
      <c r="V144" s="463"/>
      <c r="W144" s="463"/>
      <c r="X144" s="473">
        <f t="shared" si="0"/>
        <v>0</v>
      </c>
      <c r="Y144" s="473"/>
      <c r="Z144" s="81"/>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row>
    <row r="145" spans="1:59" ht="12">
      <c r="A145" s="45"/>
      <c r="B145" s="81"/>
      <c r="C145" s="21" t="s">
        <v>171</v>
      </c>
      <c r="D145" s="30"/>
      <c r="E145" s="30"/>
      <c r="F145" s="30"/>
      <c r="G145" s="30"/>
      <c r="H145" s="30"/>
      <c r="I145" s="30"/>
      <c r="J145" s="30"/>
      <c r="K145" s="30"/>
      <c r="L145" s="30"/>
      <c r="M145" s="30"/>
      <c r="N145" s="30"/>
      <c r="O145" s="30"/>
      <c r="P145" s="8"/>
      <c r="Q145" s="68">
        <v>367</v>
      </c>
      <c r="R145" s="463"/>
      <c r="S145" s="463"/>
      <c r="T145" s="463"/>
      <c r="U145" s="463"/>
      <c r="V145" s="463"/>
      <c r="W145" s="463"/>
      <c r="X145" s="473">
        <f t="shared" si="0"/>
        <v>0</v>
      </c>
      <c r="Y145" s="473"/>
      <c r="Z145" s="81"/>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row>
    <row r="146" spans="1:59" ht="12">
      <c r="A146" s="45"/>
      <c r="B146" s="81"/>
      <c r="C146" s="21" t="s">
        <v>169</v>
      </c>
      <c r="D146" s="30"/>
      <c r="E146" s="30"/>
      <c r="F146" s="30"/>
      <c r="G146" s="30"/>
      <c r="H146" s="30"/>
      <c r="I146" s="30"/>
      <c r="J146" s="30"/>
      <c r="K146" s="30"/>
      <c r="L146" s="30"/>
      <c r="M146" s="30"/>
      <c r="N146" s="30"/>
      <c r="O146" s="30"/>
      <c r="P146" s="8"/>
      <c r="Q146" s="68">
        <v>368</v>
      </c>
      <c r="R146" s="463"/>
      <c r="S146" s="463"/>
      <c r="T146" s="463"/>
      <c r="U146" s="463"/>
      <c r="V146" s="463"/>
      <c r="W146" s="463"/>
      <c r="X146" s="473">
        <f t="shared" si="0"/>
        <v>0</v>
      </c>
      <c r="Y146" s="473"/>
      <c r="Z146" s="81"/>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row>
    <row r="147" spans="1:59" ht="12">
      <c r="A147" s="45"/>
      <c r="B147" s="81"/>
      <c r="C147" s="21" t="s">
        <v>170</v>
      </c>
      <c r="D147" s="30"/>
      <c r="E147" s="30"/>
      <c r="F147" s="30"/>
      <c r="G147" s="30"/>
      <c r="H147" s="30"/>
      <c r="I147" s="30"/>
      <c r="J147" s="30"/>
      <c r="K147" s="30"/>
      <c r="L147" s="30"/>
      <c r="M147" s="30"/>
      <c r="N147" s="30"/>
      <c r="O147" s="30"/>
      <c r="P147" s="8"/>
      <c r="Q147" s="68">
        <v>369</v>
      </c>
      <c r="R147" s="463"/>
      <c r="S147" s="463"/>
      <c r="T147" s="463"/>
      <c r="U147" s="463"/>
      <c r="V147" s="463"/>
      <c r="W147" s="463"/>
      <c r="X147" s="473">
        <f t="shared" si="0"/>
        <v>0</v>
      </c>
      <c r="Y147" s="473"/>
      <c r="Z147" s="81"/>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row>
    <row r="148" spans="1:59" ht="12">
      <c r="A148" s="45"/>
      <c r="B148" s="81"/>
      <c r="C148" s="21" t="s">
        <v>179</v>
      </c>
      <c r="D148" s="30"/>
      <c r="E148" s="30"/>
      <c r="F148" s="30"/>
      <c r="G148" s="30"/>
      <c r="H148" s="30"/>
      <c r="I148" s="30"/>
      <c r="J148" s="30"/>
      <c r="K148" s="30"/>
      <c r="L148" s="30"/>
      <c r="M148" s="30"/>
      <c r="N148" s="30"/>
      <c r="O148" s="30"/>
      <c r="P148" s="8"/>
      <c r="Q148" s="68">
        <v>370</v>
      </c>
      <c r="R148" s="473">
        <f>SUM(R138:S147)</f>
        <v>3698.2990000000004</v>
      </c>
      <c r="S148" s="473"/>
      <c r="T148" s="473">
        <f>SUM(T138:U147)</f>
        <v>0</v>
      </c>
      <c r="U148" s="473"/>
      <c r="V148" s="473">
        <f>SUM(V138:W147)</f>
        <v>2591.268</v>
      </c>
      <c r="W148" s="473"/>
      <c r="X148" s="473">
        <f>SUM(X138:Y147)</f>
        <v>1107.0310000000002</v>
      </c>
      <c r="Y148" s="473"/>
      <c r="Z148" s="81"/>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row>
    <row r="149" spans="1:59" ht="12">
      <c r="A149" s="45"/>
      <c r="B149" s="81"/>
      <c r="C149" s="21" t="s">
        <v>155</v>
      </c>
      <c r="D149" s="30"/>
      <c r="E149" s="30"/>
      <c r="F149" s="30"/>
      <c r="G149" s="30"/>
      <c r="H149" s="30"/>
      <c r="I149" s="30"/>
      <c r="J149" s="30"/>
      <c r="K149" s="30"/>
      <c r="L149" s="30"/>
      <c r="M149" s="30"/>
      <c r="N149" s="30"/>
      <c r="O149" s="30"/>
      <c r="P149" s="8"/>
      <c r="Q149" s="71">
        <v>371</v>
      </c>
      <c r="R149" s="463">
        <f>R141+R143</f>
        <v>1604.2910000000002</v>
      </c>
      <c r="S149" s="463"/>
      <c r="T149" s="463"/>
      <c r="U149" s="463"/>
      <c r="V149" s="463">
        <f>V141+V143</f>
        <v>1108.816</v>
      </c>
      <c r="W149" s="463"/>
      <c r="X149" s="473">
        <f>R149+T149-V149</f>
        <v>495.47500000000014</v>
      </c>
      <c r="Y149" s="473"/>
      <c r="Z149" s="81"/>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row>
    <row r="150" spans="1:59" ht="12">
      <c r="A150" s="45"/>
      <c r="B150" s="81"/>
      <c r="C150" s="21" t="s">
        <v>156</v>
      </c>
      <c r="D150" s="30"/>
      <c r="E150" s="30"/>
      <c r="F150" s="30"/>
      <c r="G150" s="30"/>
      <c r="H150" s="30"/>
      <c r="I150" s="30"/>
      <c r="J150" s="30"/>
      <c r="K150" s="30"/>
      <c r="L150" s="30"/>
      <c r="M150" s="30"/>
      <c r="N150" s="30"/>
      <c r="O150" s="30"/>
      <c r="P150" s="8"/>
      <c r="Q150" s="71">
        <v>372</v>
      </c>
      <c r="R150" s="473">
        <f>R148-R149</f>
        <v>2094.0080000000003</v>
      </c>
      <c r="S150" s="473"/>
      <c r="T150" s="473">
        <f>T148-T149</f>
        <v>0</v>
      </c>
      <c r="U150" s="473"/>
      <c r="V150" s="473">
        <f>V148-V149</f>
        <v>1482.452</v>
      </c>
      <c r="W150" s="473"/>
      <c r="X150" s="473">
        <f>R150+T150-V150</f>
        <v>611.5560000000003</v>
      </c>
      <c r="Y150" s="473"/>
      <c r="Z150" s="81"/>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row>
    <row r="151" spans="1:59" ht="12">
      <c r="A151" s="45"/>
      <c r="B151" s="81"/>
      <c r="C151" s="74" t="s">
        <v>153</v>
      </c>
      <c r="D151" s="75"/>
      <c r="E151" s="75"/>
      <c r="F151" s="75"/>
      <c r="G151" s="75"/>
      <c r="H151" s="75"/>
      <c r="I151" s="75"/>
      <c r="J151" s="75"/>
      <c r="K151" s="75"/>
      <c r="L151" s="75"/>
      <c r="M151" s="75"/>
      <c r="N151" s="75"/>
      <c r="O151" s="75"/>
      <c r="P151" s="76"/>
      <c r="Q151" s="77"/>
      <c r="R151" s="78"/>
      <c r="S151" s="78"/>
      <c r="T151" s="78"/>
      <c r="U151" s="78"/>
      <c r="V151" s="78"/>
      <c r="W151" s="78"/>
      <c r="X151" s="78"/>
      <c r="Y151" s="79"/>
      <c r="Z151" s="81"/>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row>
    <row r="152" spans="1:59" ht="12">
      <c r="A152" s="45"/>
      <c r="B152" s="81"/>
      <c r="C152" s="21" t="s">
        <v>157</v>
      </c>
      <c r="D152" s="30"/>
      <c r="E152" s="30"/>
      <c r="F152" s="30"/>
      <c r="G152" s="30"/>
      <c r="H152" s="30"/>
      <c r="I152" s="30"/>
      <c r="J152" s="30"/>
      <c r="K152" s="30"/>
      <c r="L152" s="30"/>
      <c r="M152" s="30"/>
      <c r="N152" s="30"/>
      <c r="O152" s="30"/>
      <c r="P152" s="8"/>
      <c r="Q152" s="71">
        <v>375</v>
      </c>
      <c r="R152" s="463">
        <v>1810.15</v>
      </c>
      <c r="S152" s="463"/>
      <c r="T152" s="473"/>
      <c r="U152" s="473"/>
      <c r="V152" s="473"/>
      <c r="W152" s="473"/>
      <c r="X152" s="463">
        <v>1278.921</v>
      </c>
      <c r="Y152" s="463"/>
      <c r="Z152" s="81"/>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row>
    <row r="153" spans="1:59" ht="12">
      <c r="A153" s="45"/>
      <c r="B153" s="81"/>
      <c r="C153" s="21" t="s">
        <v>161</v>
      </c>
      <c r="D153" s="30"/>
      <c r="E153" s="30"/>
      <c r="F153" s="30"/>
      <c r="G153" s="30"/>
      <c r="H153" s="30"/>
      <c r="I153" s="30"/>
      <c r="J153" s="30"/>
      <c r="K153" s="30"/>
      <c r="L153" s="30"/>
      <c r="M153" s="30"/>
      <c r="N153" s="30"/>
      <c r="O153" s="30"/>
      <c r="P153" s="8"/>
      <c r="Q153" s="71">
        <v>376</v>
      </c>
      <c r="R153" s="463">
        <f>R149/R148*R152</f>
        <v>785.2278449227605</v>
      </c>
      <c r="S153" s="463"/>
      <c r="T153" s="473"/>
      <c r="U153" s="473"/>
      <c r="V153" s="473"/>
      <c r="W153" s="473"/>
      <c r="X153" s="463">
        <f>X149/X148*X152</f>
        <v>572.407983584019</v>
      </c>
      <c r="Y153" s="463"/>
      <c r="Z153" s="81"/>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row>
    <row r="154" spans="1:59" ht="12">
      <c r="A154" s="45"/>
      <c r="B154" s="81"/>
      <c r="C154" s="21" t="s">
        <v>158</v>
      </c>
      <c r="D154" s="30"/>
      <c r="E154" s="30"/>
      <c r="F154" s="30"/>
      <c r="G154" s="30"/>
      <c r="H154" s="30"/>
      <c r="I154" s="30"/>
      <c r="J154" s="30"/>
      <c r="K154" s="30"/>
      <c r="L154" s="30"/>
      <c r="M154" s="30"/>
      <c r="N154" s="30"/>
      <c r="O154" s="30"/>
      <c r="P154" s="8"/>
      <c r="Q154" s="71">
        <v>377</v>
      </c>
      <c r="R154" s="463"/>
      <c r="S154" s="463"/>
      <c r="T154" s="473"/>
      <c r="U154" s="473"/>
      <c r="V154" s="473"/>
      <c r="W154" s="473"/>
      <c r="X154" s="463"/>
      <c r="Y154" s="463"/>
      <c r="Z154" s="81"/>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row>
    <row r="155" spans="1:59" ht="12">
      <c r="A155" s="45"/>
      <c r="B155" s="81"/>
      <c r="C155" s="70" t="s">
        <v>795</v>
      </c>
      <c r="D155" s="30"/>
      <c r="E155" s="30"/>
      <c r="F155" s="30"/>
      <c r="G155" s="30"/>
      <c r="H155" s="30"/>
      <c r="I155" s="30"/>
      <c r="J155" s="30"/>
      <c r="K155" s="30"/>
      <c r="L155" s="30"/>
      <c r="M155" s="30"/>
      <c r="N155" s="30"/>
      <c r="O155" s="30"/>
      <c r="P155" s="8"/>
      <c r="Q155" s="72">
        <v>378</v>
      </c>
      <c r="R155" s="473">
        <f>R152-R153-R154</f>
        <v>1024.9221550772395</v>
      </c>
      <c r="S155" s="473"/>
      <c r="T155" s="473"/>
      <c r="U155" s="473"/>
      <c r="V155" s="473"/>
      <c r="W155" s="473"/>
      <c r="X155" s="473">
        <f>X152-X153-X154</f>
        <v>706.513016415981</v>
      </c>
      <c r="Y155" s="473"/>
      <c r="Z155" s="81"/>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row>
    <row r="156" spans="1:59" ht="12">
      <c r="A156" s="45"/>
      <c r="B156" s="81"/>
      <c r="C156" s="165" t="s">
        <v>494</v>
      </c>
      <c r="D156" s="165"/>
      <c r="E156" s="165"/>
      <c r="F156" s="165"/>
      <c r="G156" s="165"/>
      <c r="H156" s="165"/>
      <c r="I156" s="165"/>
      <c r="J156" s="165"/>
      <c r="K156" s="165"/>
      <c r="L156" s="165"/>
      <c r="M156" s="165"/>
      <c r="N156" s="165"/>
      <c r="O156" s="165"/>
      <c r="P156" s="166"/>
      <c r="Q156" s="166"/>
      <c r="R156" s="166"/>
      <c r="S156" s="165"/>
      <c r="T156" s="166"/>
      <c r="U156" s="165"/>
      <c r="V156" s="165"/>
      <c r="W156" s="165"/>
      <c r="X156" s="165"/>
      <c r="Y156" s="165"/>
      <c r="Z156" s="81"/>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row>
    <row r="157" spans="1:59" ht="11.25">
      <c r="A157" s="45"/>
      <c r="B157" s="81"/>
      <c r="C157" s="46" t="s">
        <v>131</v>
      </c>
      <c r="D157" s="47"/>
      <c r="E157" s="47"/>
      <c r="F157" s="47"/>
      <c r="G157" s="47"/>
      <c r="H157" s="47"/>
      <c r="I157" s="47"/>
      <c r="J157" s="47"/>
      <c r="K157" s="47"/>
      <c r="L157" s="47"/>
      <c r="M157" s="47"/>
      <c r="N157" s="47"/>
      <c r="O157" s="47"/>
      <c r="P157" s="47"/>
      <c r="Q157" s="48" t="s">
        <v>111</v>
      </c>
      <c r="R157" s="46" t="s">
        <v>580</v>
      </c>
      <c r="S157" s="47"/>
      <c r="T157" s="47"/>
      <c r="U157" s="49"/>
      <c r="V157" s="46" t="s">
        <v>582</v>
      </c>
      <c r="W157" s="47"/>
      <c r="X157" s="47"/>
      <c r="Y157" s="49"/>
      <c r="Z157" s="81"/>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row>
    <row r="158" spans="1:59" ht="11.25">
      <c r="A158" s="45"/>
      <c r="B158" s="81"/>
      <c r="C158" s="50" t="s">
        <v>132</v>
      </c>
      <c r="D158" s="51"/>
      <c r="E158" s="51"/>
      <c r="F158" s="51"/>
      <c r="G158" s="51"/>
      <c r="H158" s="51"/>
      <c r="I158" s="51"/>
      <c r="J158" s="51"/>
      <c r="K158" s="51"/>
      <c r="L158" s="51"/>
      <c r="M158" s="51"/>
      <c r="N158" s="51"/>
      <c r="O158" s="51"/>
      <c r="P158" s="51"/>
      <c r="Q158" s="52" t="s">
        <v>112</v>
      </c>
      <c r="R158" s="50" t="s">
        <v>581</v>
      </c>
      <c r="S158" s="51"/>
      <c r="T158" s="51"/>
      <c r="U158" s="53"/>
      <c r="V158" s="50" t="s">
        <v>581</v>
      </c>
      <c r="W158" s="51"/>
      <c r="X158" s="51"/>
      <c r="Y158" s="53"/>
      <c r="Z158" s="81"/>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row>
    <row r="159" spans="1:59" ht="11.25">
      <c r="A159" s="45"/>
      <c r="B159" s="81"/>
      <c r="C159" s="25">
        <v>1</v>
      </c>
      <c r="D159" s="29"/>
      <c r="E159" s="29"/>
      <c r="F159" s="29"/>
      <c r="G159" s="29"/>
      <c r="H159" s="29"/>
      <c r="I159" s="29"/>
      <c r="J159" s="29"/>
      <c r="K159" s="29"/>
      <c r="L159" s="29"/>
      <c r="M159" s="29"/>
      <c r="N159" s="29"/>
      <c r="O159" s="29"/>
      <c r="P159" s="29"/>
      <c r="Q159" s="54">
        <v>2</v>
      </c>
      <c r="R159" s="25">
        <v>3</v>
      </c>
      <c r="S159" s="29"/>
      <c r="T159" s="29"/>
      <c r="U159" s="44"/>
      <c r="V159" s="25">
        <v>4</v>
      </c>
      <c r="W159" s="29"/>
      <c r="X159" s="29"/>
      <c r="Y159" s="44"/>
      <c r="Z159" s="81"/>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row>
    <row r="160" spans="1:59" ht="12">
      <c r="A160" s="45"/>
      <c r="B160" s="81"/>
      <c r="C160" s="21" t="s">
        <v>583</v>
      </c>
      <c r="D160" s="30"/>
      <c r="E160" s="30"/>
      <c r="F160" s="30"/>
      <c r="G160" s="30"/>
      <c r="H160" s="30"/>
      <c r="I160" s="30"/>
      <c r="J160" s="30"/>
      <c r="K160" s="30"/>
      <c r="L160" s="30"/>
      <c r="M160" s="30"/>
      <c r="N160" s="30"/>
      <c r="O160" s="30"/>
      <c r="P160" s="7"/>
      <c r="Q160" s="3">
        <v>393</v>
      </c>
      <c r="R160" s="486"/>
      <c r="S160" s="487"/>
      <c r="T160" s="487"/>
      <c r="U160" s="487"/>
      <c r="V160" s="486"/>
      <c r="W160" s="487"/>
      <c r="X160" s="487"/>
      <c r="Y160" s="488"/>
      <c r="Z160" s="81"/>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row>
    <row r="161" spans="1:59" ht="12">
      <c r="A161" s="45"/>
      <c r="B161" s="81"/>
      <c r="C161" s="21" t="s">
        <v>584</v>
      </c>
      <c r="D161" s="30"/>
      <c r="E161" s="30"/>
      <c r="F161" s="30"/>
      <c r="G161" s="30"/>
      <c r="H161" s="30"/>
      <c r="I161" s="30"/>
      <c r="J161" s="30"/>
      <c r="K161" s="30"/>
      <c r="L161" s="30"/>
      <c r="M161" s="30"/>
      <c r="N161" s="30"/>
      <c r="O161" s="30"/>
      <c r="P161" s="7"/>
      <c r="Q161" s="3">
        <v>394</v>
      </c>
      <c r="R161" s="486">
        <v>2247</v>
      </c>
      <c r="S161" s="487"/>
      <c r="T161" s="487"/>
      <c r="U161" s="487"/>
      <c r="V161" s="486">
        <v>2591</v>
      </c>
      <c r="W161" s="487"/>
      <c r="X161" s="487"/>
      <c r="Y161" s="488"/>
      <c r="Z161" s="81"/>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row>
    <row r="162" spans="1:59" ht="12">
      <c r="A162" s="45"/>
      <c r="B162" s="81"/>
      <c r="C162" s="21" t="s">
        <v>585</v>
      </c>
      <c r="D162" s="30"/>
      <c r="E162" s="30"/>
      <c r="F162" s="30"/>
      <c r="G162" s="30"/>
      <c r="H162" s="30"/>
      <c r="I162" s="30"/>
      <c r="J162" s="30"/>
      <c r="K162" s="30"/>
      <c r="L162" s="30"/>
      <c r="M162" s="30"/>
      <c r="N162" s="30"/>
      <c r="O162" s="30"/>
      <c r="P162" s="7"/>
      <c r="Q162" s="3">
        <v>395</v>
      </c>
      <c r="R162" s="486">
        <v>1053</v>
      </c>
      <c r="S162" s="487"/>
      <c r="T162" s="487"/>
      <c r="U162" s="487"/>
      <c r="V162" s="486">
        <v>1223</v>
      </c>
      <c r="W162" s="487"/>
      <c r="X162" s="487"/>
      <c r="Y162" s="488"/>
      <c r="Z162" s="81"/>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row>
    <row r="163" spans="1:59" ht="12">
      <c r="A163" s="45"/>
      <c r="B163" s="81"/>
      <c r="C163" s="21" t="s">
        <v>586</v>
      </c>
      <c r="D163" s="30"/>
      <c r="E163" s="30"/>
      <c r="F163" s="30"/>
      <c r="G163" s="30"/>
      <c r="H163" s="30"/>
      <c r="I163" s="30"/>
      <c r="J163" s="30"/>
      <c r="K163" s="30"/>
      <c r="L163" s="30"/>
      <c r="M163" s="30"/>
      <c r="N163" s="30"/>
      <c r="O163" s="30"/>
      <c r="P163" s="7"/>
      <c r="Q163" s="3">
        <v>396</v>
      </c>
      <c r="R163" s="486">
        <v>1000</v>
      </c>
      <c r="S163" s="487"/>
      <c r="T163" s="487"/>
      <c r="U163" s="487"/>
      <c r="V163" s="486">
        <v>1135</v>
      </c>
      <c r="W163" s="487"/>
      <c r="X163" s="487"/>
      <c r="Y163" s="488"/>
      <c r="Z163" s="81"/>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row>
    <row r="164" spans="1:59" ht="12">
      <c r="A164" s="45"/>
      <c r="B164" s="81"/>
      <c r="C164" s="21" t="s">
        <v>587</v>
      </c>
      <c r="D164" s="30"/>
      <c r="E164" s="30"/>
      <c r="F164" s="30"/>
      <c r="G164" s="30"/>
      <c r="H164" s="30"/>
      <c r="I164" s="30"/>
      <c r="J164" s="30"/>
      <c r="K164" s="30"/>
      <c r="L164" s="30"/>
      <c r="M164" s="30"/>
      <c r="N164" s="30"/>
      <c r="O164" s="30"/>
      <c r="P164" s="7"/>
      <c r="Q164" s="3">
        <v>397</v>
      </c>
      <c r="R164" s="489">
        <v>194</v>
      </c>
      <c r="S164" s="490"/>
      <c r="T164" s="490"/>
      <c r="U164" s="490"/>
      <c r="V164" s="489">
        <v>234</v>
      </c>
      <c r="W164" s="490"/>
      <c r="X164" s="490"/>
      <c r="Y164" s="491"/>
      <c r="Z164" s="81"/>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row>
    <row r="165" spans="1:59" ht="12">
      <c r="A165" s="45"/>
      <c r="B165" s="81"/>
      <c r="C165" s="165" t="s">
        <v>396</v>
      </c>
      <c r="D165" s="165"/>
      <c r="E165" s="165"/>
      <c r="F165" s="165"/>
      <c r="G165" s="165"/>
      <c r="H165" s="165"/>
      <c r="I165" s="165"/>
      <c r="J165" s="165"/>
      <c r="K165" s="165"/>
      <c r="L165" s="165"/>
      <c r="M165" s="165"/>
      <c r="N165" s="165"/>
      <c r="O165" s="165"/>
      <c r="P165" s="166"/>
      <c r="Q165" s="166"/>
      <c r="R165" s="166"/>
      <c r="S165" s="165"/>
      <c r="T165" s="166"/>
      <c r="U165" s="165"/>
      <c r="V165" s="165"/>
      <c r="W165" s="165"/>
      <c r="X165" s="165"/>
      <c r="Y165" s="165"/>
      <c r="Z165" s="81"/>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row>
    <row r="166" spans="1:59" ht="11.25">
      <c r="A166" s="45"/>
      <c r="B166" s="81"/>
      <c r="C166" s="46" t="s">
        <v>131</v>
      </c>
      <c r="D166" s="47"/>
      <c r="E166" s="47"/>
      <c r="F166" s="47"/>
      <c r="G166" s="47"/>
      <c r="H166" s="47"/>
      <c r="I166" s="47"/>
      <c r="J166" s="47"/>
      <c r="K166" s="47"/>
      <c r="L166" s="47"/>
      <c r="M166" s="47"/>
      <c r="N166" s="47"/>
      <c r="O166" s="47"/>
      <c r="P166" s="47"/>
      <c r="Q166" s="48" t="s">
        <v>111</v>
      </c>
      <c r="R166" s="46" t="s">
        <v>397</v>
      </c>
      <c r="S166" s="47"/>
      <c r="T166" s="47"/>
      <c r="U166" s="49"/>
      <c r="V166" s="46" t="s">
        <v>397</v>
      </c>
      <c r="W166" s="47"/>
      <c r="X166" s="47"/>
      <c r="Y166" s="49"/>
      <c r="Z166" s="81"/>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row>
    <row r="167" spans="1:59" ht="11.25">
      <c r="A167" s="45"/>
      <c r="B167" s="81"/>
      <c r="C167" s="50" t="s">
        <v>132</v>
      </c>
      <c r="D167" s="51"/>
      <c r="E167" s="51"/>
      <c r="F167" s="51"/>
      <c r="G167" s="51"/>
      <c r="H167" s="51"/>
      <c r="I167" s="51"/>
      <c r="J167" s="51"/>
      <c r="K167" s="51"/>
      <c r="L167" s="51"/>
      <c r="M167" s="51"/>
      <c r="N167" s="51"/>
      <c r="O167" s="51"/>
      <c r="P167" s="51"/>
      <c r="Q167" s="52" t="s">
        <v>112</v>
      </c>
      <c r="R167" s="50" t="s">
        <v>398</v>
      </c>
      <c r="S167" s="51"/>
      <c r="T167" s="51"/>
      <c r="U167" s="53"/>
      <c r="V167" s="50" t="s">
        <v>399</v>
      </c>
      <c r="W167" s="51"/>
      <c r="X167" s="51"/>
      <c r="Y167" s="53"/>
      <c r="Z167" s="81"/>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row>
    <row r="168" spans="1:59" ht="11.25">
      <c r="A168" s="45"/>
      <c r="B168" s="81"/>
      <c r="C168" s="25">
        <v>1</v>
      </c>
      <c r="D168" s="29"/>
      <c r="E168" s="29"/>
      <c r="F168" s="29"/>
      <c r="G168" s="29"/>
      <c r="H168" s="29"/>
      <c r="I168" s="29"/>
      <c r="J168" s="29"/>
      <c r="K168" s="29"/>
      <c r="L168" s="29"/>
      <c r="M168" s="29"/>
      <c r="N168" s="29"/>
      <c r="O168" s="29"/>
      <c r="P168" s="29"/>
      <c r="Q168" s="54">
        <v>2</v>
      </c>
      <c r="R168" s="25">
        <v>3</v>
      </c>
      <c r="S168" s="29"/>
      <c r="T168" s="29"/>
      <c r="U168" s="44"/>
      <c r="V168" s="25">
        <v>4</v>
      </c>
      <c r="W168" s="29"/>
      <c r="X168" s="29"/>
      <c r="Y168" s="44"/>
      <c r="Z168" s="81"/>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row>
    <row r="169" spans="1:59" ht="12">
      <c r="A169" s="45"/>
      <c r="B169" s="81"/>
      <c r="C169" s="21" t="s">
        <v>400</v>
      </c>
      <c r="D169" s="30"/>
      <c r="E169" s="30"/>
      <c r="F169" s="30"/>
      <c r="G169" s="30"/>
      <c r="H169" s="30"/>
      <c r="I169" s="30"/>
      <c r="J169" s="30"/>
      <c r="K169" s="30"/>
      <c r="L169" s="30"/>
      <c r="M169" s="30"/>
      <c r="N169" s="30"/>
      <c r="O169" s="30"/>
      <c r="P169" s="8"/>
      <c r="Q169" s="3">
        <v>610</v>
      </c>
      <c r="R169" s="486">
        <v>6910</v>
      </c>
      <c r="S169" s="487"/>
      <c r="T169" s="487"/>
      <c r="U169" s="488"/>
      <c r="V169" s="486"/>
      <c r="W169" s="487"/>
      <c r="X169" s="487"/>
      <c r="Y169" s="488"/>
      <c r="Z169" s="81"/>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row>
    <row r="170" spans="1:59" ht="12">
      <c r="A170" s="45"/>
      <c r="B170" s="81"/>
      <c r="C170" s="21" t="s">
        <v>733</v>
      </c>
      <c r="D170" s="30"/>
      <c r="E170" s="30"/>
      <c r="F170" s="30"/>
      <c r="G170" s="30"/>
      <c r="H170" s="30"/>
      <c r="I170" s="30"/>
      <c r="J170" s="30"/>
      <c r="K170" s="30"/>
      <c r="L170" s="30"/>
      <c r="M170" s="30"/>
      <c r="N170" s="30"/>
      <c r="O170" s="30"/>
      <c r="P170" s="8"/>
      <c r="Q170" s="3">
        <v>611</v>
      </c>
      <c r="R170" s="486">
        <v>6910</v>
      </c>
      <c r="S170" s="487"/>
      <c r="T170" s="487"/>
      <c r="U170" s="488"/>
      <c r="V170" s="486"/>
      <c r="W170" s="487"/>
      <c r="X170" s="487"/>
      <c r="Y170" s="488"/>
      <c r="Z170" s="81"/>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row>
    <row r="171" spans="1:59" ht="12">
      <c r="A171" s="45"/>
      <c r="B171" s="81"/>
      <c r="C171" s="21" t="s">
        <v>734</v>
      </c>
      <c r="D171" s="30"/>
      <c r="E171" s="30"/>
      <c r="F171" s="30"/>
      <c r="G171" s="30"/>
      <c r="H171" s="30"/>
      <c r="I171" s="30"/>
      <c r="J171" s="30"/>
      <c r="K171" s="30"/>
      <c r="L171" s="30"/>
      <c r="M171" s="30"/>
      <c r="N171" s="30"/>
      <c r="O171" s="30"/>
      <c r="P171" s="8"/>
      <c r="Q171" s="3">
        <v>612</v>
      </c>
      <c r="R171" s="486"/>
      <c r="S171" s="487"/>
      <c r="T171" s="487"/>
      <c r="U171" s="488"/>
      <c r="V171" s="486"/>
      <c r="W171" s="487"/>
      <c r="X171" s="487"/>
      <c r="Y171" s="488"/>
      <c r="Z171" s="81"/>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row>
    <row r="172" spans="1:59" ht="12">
      <c r="A172" s="45"/>
      <c r="B172" s="81"/>
      <c r="C172" s="21" t="s">
        <v>401</v>
      </c>
      <c r="D172" s="30"/>
      <c r="E172" s="30"/>
      <c r="F172" s="30"/>
      <c r="G172" s="30"/>
      <c r="H172" s="30"/>
      <c r="I172" s="30"/>
      <c r="J172" s="30"/>
      <c r="K172" s="30"/>
      <c r="L172" s="30"/>
      <c r="M172" s="30"/>
      <c r="N172" s="30"/>
      <c r="O172" s="30"/>
      <c r="P172" s="8"/>
      <c r="Q172" s="3">
        <v>613</v>
      </c>
      <c r="R172" s="486"/>
      <c r="S172" s="487"/>
      <c r="T172" s="487"/>
      <c r="U172" s="488"/>
      <c r="V172" s="486"/>
      <c r="W172" s="487"/>
      <c r="X172" s="487"/>
      <c r="Y172" s="488"/>
      <c r="Z172" s="81"/>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row>
    <row r="173" spans="1:59" ht="12">
      <c r="A173" s="45"/>
      <c r="B173" s="81"/>
      <c r="C173" s="21" t="s">
        <v>109</v>
      </c>
      <c r="D173" s="30"/>
      <c r="E173" s="30"/>
      <c r="F173" s="30"/>
      <c r="G173" s="30"/>
      <c r="H173" s="30"/>
      <c r="I173" s="30"/>
      <c r="J173" s="30"/>
      <c r="K173" s="30"/>
      <c r="L173" s="30"/>
      <c r="M173" s="30"/>
      <c r="N173" s="30"/>
      <c r="O173" s="30"/>
      <c r="P173" s="8"/>
      <c r="Q173" s="3">
        <v>620</v>
      </c>
      <c r="R173" s="489">
        <v>31118</v>
      </c>
      <c r="S173" s="490"/>
      <c r="T173" s="490"/>
      <c r="U173" s="491"/>
      <c r="V173" s="489"/>
      <c r="W173" s="490"/>
      <c r="X173" s="490"/>
      <c r="Y173" s="491"/>
      <c r="Z173" s="81"/>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row>
    <row r="174" spans="1:59" ht="12">
      <c r="A174" s="45"/>
      <c r="B174" s="81"/>
      <c r="C174" s="21" t="s">
        <v>183</v>
      </c>
      <c r="D174" s="30"/>
      <c r="E174" s="30"/>
      <c r="F174" s="30"/>
      <c r="G174" s="30"/>
      <c r="H174" s="30"/>
      <c r="I174" s="30"/>
      <c r="J174" s="30"/>
      <c r="K174" s="30"/>
      <c r="L174" s="30"/>
      <c r="M174" s="30"/>
      <c r="N174" s="30"/>
      <c r="O174" s="30"/>
      <c r="P174" s="8"/>
      <c r="Q174" s="3">
        <v>630</v>
      </c>
      <c r="R174" s="486">
        <v>8139</v>
      </c>
      <c r="S174" s="487"/>
      <c r="T174" s="487"/>
      <c r="U174" s="488"/>
      <c r="V174" s="486"/>
      <c r="W174" s="487"/>
      <c r="X174" s="487"/>
      <c r="Y174" s="488"/>
      <c r="Z174" s="81"/>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row>
    <row r="175" spans="1:59" ht="12">
      <c r="A175" s="45"/>
      <c r="B175" s="81"/>
      <c r="C175" s="21" t="s">
        <v>402</v>
      </c>
      <c r="D175" s="30"/>
      <c r="E175" s="30"/>
      <c r="F175" s="30"/>
      <c r="G175" s="30"/>
      <c r="H175" s="30"/>
      <c r="I175" s="30"/>
      <c r="J175" s="30"/>
      <c r="K175" s="30"/>
      <c r="L175" s="30"/>
      <c r="M175" s="30"/>
      <c r="N175" s="30"/>
      <c r="O175" s="30"/>
      <c r="P175" s="8"/>
      <c r="Q175" s="3">
        <v>640</v>
      </c>
      <c r="R175" s="486">
        <v>2247</v>
      </c>
      <c r="S175" s="487"/>
      <c r="T175" s="487"/>
      <c r="U175" s="488"/>
      <c r="V175" s="486">
        <v>2591</v>
      </c>
      <c r="W175" s="487"/>
      <c r="X175" s="487"/>
      <c r="Y175" s="488"/>
      <c r="Z175" s="81"/>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row>
    <row r="176" spans="1:59" ht="12">
      <c r="A176" s="45"/>
      <c r="B176" s="81"/>
      <c r="C176" s="21" t="s">
        <v>403</v>
      </c>
      <c r="D176" s="30"/>
      <c r="E176" s="30"/>
      <c r="F176" s="30"/>
      <c r="G176" s="30"/>
      <c r="H176" s="30"/>
      <c r="I176" s="30"/>
      <c r="J176" s="30"/>
      <c r="K176" s="30"/>
      <c r="L176" s="30"/>
      <c r="M176" s="30"/>
      <c r="N176" s="30"/>
      <c r="O176" s="30"/>
      <c r="P176" s="8"/>
      <c r="Q176" s="3">
        <v>650</v>
      </c>
      <c r="R176" s="489">
        <f>14+602+728</f>
        <v>1344</v>
      </c>
      <c r="S176" s="490"/>
      <c r="T176" s="490"/>
      <c r="U176" s="491"/>
      <c r="V176" s="489"/>
      <c r="W176" s="490"/>
      <c r="X176" s="490"/>
      <c r="Y176" s="491"/>
      <c r="Z176" s="81"/>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row>
    <row r="177" spans="1:59" ht="12">
      <c r="A177" s="45"/>
      <c r="B177" s="81"/>
      <c r="C177" s="21" t="s">
        <v>404</v>
      </c>
      <c r="D177" s="30"/>
      <c r="E177" s="30"/>
      <c r="F177" s="30"/>
      <c r="G177" s="30"/>
      <c r="H177" s="30"/>
      <c r="I177" s="30"/>
      <c r="J177" s="30"/>
      <c r="K177" s="30"/>
      <c r="L177" s="30"/>
      <c r="M177" s="30"/>
      <c r="N177" s="30"/>
      <c r="O177" s="30"/>
      <c r="P177" s="8"/>
      <c r="Q177" s="3">
        <v>651</v>
      </c>
      <c r="R177" s="486">
        <f>602+728</f>
        <v>1330</v>
      </c>
      <c r="S177" s="487"/>
      <c r="T177" s="487"/>
      <c r="U177" s="488"/>
      <c r="V177" s="486"/>
      <c r="W177" s="487"/>
      <c r="X177" s="487"/>
      <c r="Y177" s="488"/>
      <c r="Z177" s="81"/>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row>
    <row r="178" spans="1:59" ht="12">
      <c r="A178" s="45"/>
      <c r="B178" s="81"/>
      <c r="C178" s="21" t="s">
        <v>184</v>
      </c>
      <c r="D178" s="30"/>
      <c r="E178" s="30"/>
      <c r="F178" s="30"/>
      <c r="G178" s="30"/>
      <c r="H178" s="30"/>
      <c r="I178" s="30"/>
      <c r="J178" s="30"/>
      <c r="K178" s="30"/>
      <c r="L178" s="30"/>
      <c r="M178" s="30"/>
      <c r="N178" s="30"/>
      <c r="O178" s="30"/>
      <c r="P178" s="8"/>
      <c r="Q178" s="3">
        <v>660</v>
      </c>
      <c r="R178" s="492">
        <f>SUM(R169,R173:U176)</f>
        <v>49758</v>
      </c>
      <c r="S178" s="493"/>
      <c r="T178" s="493"/>
      <c r="U178" s="493"/>
      <c r="V178" s="492">
        <f>SUM(V169,V173:Y176)</f>
        <v>2591</v>
      </c>
      <c r="W178" s="493"/>
      <c r="X178" s="493"/>
      <c r="Y178" s="494"/>
      <c r="Z178" s="81"/>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row>
    <row r="179" spans="1:59" ht="12">
      <c r="A179" s="45"/>
      <c r="B179" s="81"/>
      <c r="C179" s="21" t="s">
        <v>407</v>
      </c>
      <c r="D179" s="30"/>
      <c r="E179" s="30"/>
      <c r="F179" s="30"/>
      <c r="G179" s="30"/>
      <c r="H179" s="30"/>
      <c r="I179" s="30"/>
      <c r="J179" s="30"/>
      <c r="K179" s="30"/>
      <c r="L179" s="30"/>
      <c r="M179" s="30"/>
      <c r="N179" s="30"/>
      <c r="O179" s="30"/>
      <c r="P179" s="8"/>
      <c r="Q179" s="3">
        <v>670</v>
      </c>
      <c r="R179" s="489">
        <v>1748</v>
      </c>
      <c r="S179" s="490"/>
      <c r="T179" s="490"/>
      <c r="U179" s="490"/>
      <c r="V179" s="489">
        <v>4433</v>
      </c>
      <c r="W179" s="490"/>
      <c r="X179" s="490"/>
      <c r="Y179" s="491"/>
      <c r="Z179" s="81"/>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row>
    <row r="180" spans="1:59" ht="12">
      <c r="A180" s="45"/>
      <c r="B180" s="81"/>
      <c r="C180" s="70" t="s">
        <v>406</v>
      </c>
      <c r="D180" s="30"/>
      <c r="E180" s="30"/>
      <c r="F180" s="30"/>
      <c r="G180" s="30"/>
      <c r="H180" s="30"/>
      <c r="I180" s="30"/>
      <c r="J180" s="30"/>
      <c r="K180" s="30"/>
      <c r="L180" s="30"/>
      <c r="M180" s="30"/>
      <c r="N180" s="30"/>
      <c r="O180" s="30"/>
      <c r="P180" s="8"/>
      <c r="Q180" s="3">
        <v>680</v>
      </c>
      <c r="R180" s="486">
        <v>1384</v>
      </c>
      <c r="S180" s="487"/>
      <c r="T180" s="487"/>
      <c r="U180" s="487"/>
      <c r="V180" s="486">
        <v>121</v>
      </c>
      <c r="W180" s="487"/>
      <c r="X180" s="487"/>
      <c r="Y180" s="488"/>
      <c r="Z180" s="81"/>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row>
    <row r="181" spans="1:59" ht="12">
      <c r="A181" s="45"/>
      <c r="B181" s="81"/>
      <c r="C181" s="70" t="s">
        <v>405</v>
      </c>
      <c r="D181" s="30"/>
      <c r="E181" s="30"/>
      <c r="F181" s="30"/>
      <c r="G181" s="30"/>
      <c r="H181" s="30"/>
      <c r="I181" s="30"/>
      <c r="J181" s="30"/>
      <c r="K181" s="30"/>
      <c r="L181" s="30"/>
      <c r="M181" s="30"/>
      <c r="N181" s="30"/>
      <c r="O181" s="30"/>
      <c r="P181" s="8"/>
      <c r="Q181" s="3">
        <v>690</v>
      </c>
      <c r="R181" s="489"/>
      <c r="S181" s="490"/>
      <c r="T181" s="490"/>
      <c r="U181" s="490"/>
      <c r="V181" s="489"/>
      <c r="W181" s="490"/>
      <c r="X181" s="490"/>
      <c r="Y181" s="491"/>
      <c r="Z181" s="81"/>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row>
    <row r="182" spans="1:59" ht="12">
      <c r="A182" s="45"/>
      <c r="B182" s="81"/>
      <c r="C182" s="165" t="str">
        <f>$C$15</f>
        <v>ООО"ПИК-ПОДЪЕМ" </v>
      </c>
      <c r="D182" s="164"/>
      <c r="E182" s="164"/>
      <c r="F182" s="164"/>
      <c r="G182" s="164"/>
      <c r="H182" s="164"/>
      <c r="I182" s="164"/>
      <c r="J182" s="164"/>
      <c r="K182" s="164"/>
      <c r="L182" s="164"/>
      <c r="M182" s="168"/>
      <c r="N182" s="168"/>
      <c r="O182" s="168"/>
      <c r="P182" s="169"/>
      <c r="Q182" s="169"/>
      <c r="R182" s="169"/>
      <c r="S182" s="168"/>
      <c r="T182" s="169"/>
      <c r="U182" s="167" t="s">
        <v>408</v>
      </c>
      <c r="V182" s="167"/>
      <c r="W182" s="167"/>
      <c r="X182" s="167"/>
      <c r="Y182" s="167"/>
      <c r="Z182" s="81"/>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row>
    <row r="183" spans="1:59" ht="12">
      <c r="A183" s="45"/>
      <c r="B183" s="81"/>
      <c r="C183" s="165" t="s">
        <v>409</v>
      </c>
      <c r="D183" s="164"/>
      <c r="E183" s="164"/>
      <c r="F183" s="164"/>
      <c r="G183" s="164"/>
      <c r="H183" s="164"/>
      <c r="I183" s="164"/>
      <c r="J183" s="164"/>
      <c r="K183" s="164"/>
      <c r="L183" s="164"/>
      <c r="M183" s="164"/>
      <c r="N183" s="164"/>
      <c r="O183" s="164"/>
      <c r="P183" s="171"/>
      <c r="Q183" s="171"/>
      <c r="R183" s="171"/>
      <c r="S183" s="164"/>
      <c r="T183" s="171"/>
      <c r="U183" s="164"/>
      <c r="V183" s="164"/>
      <c r="W183" s="164"/>
      <c r="X183" s="164"/>
      <c r="Y183" s="164"/>
      <c r="Z183" s="81"/>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row>
    <row r="184" spans="1:59" ht="12">
      <c r="A184" s="45"/>
      <c r="B184" s="81"/>
      <c r="C184" s="16" t="s">
        <v>131</v>
      </c>
      <c r="D184" s="47"/>
      <c r="E184" s="47"/>
      <c r="F184" s="47"/>
      <c r="G184" s="47"/>
      <c r="H184" s="47"/>
      <c r="I184" s="47"/>
      <c r="J184" s="47"/>
      <c r="K184" s="47"/>
      <c r="L184" s="47"/>
      <c r="M184" s="47"/>
      <c r="N184" s="47"/>
      <c r="O184" s="49"/>
      <c r="P184" s="88" t="s">
        <v>111</v>
      </c>
      <c r="Q184" s="46" t="s">
        <v>413</v>
      </c>
      <c r="R184" s="47"/>
      <c r="S184" s="49"/>
      <c r="T184" s="46" t="s">
        <v>180</v>
      </c>
      <c r="U184" s="47"/>
      <c r="V184" s="49"/>
      <c r="W184" s="46" t="s">
        <v>410</v>
      </c>
      <c r="X184" s="47"/>
      <c r="Y184" s="49"/>
      <c r="Z184" s="81"/>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row>
    <row r="185" spans="1:59" ht="12">
      <c r="A185" s="45"/>
      <c r="B185" s="81"/>
      <c r="C185" s="17" t="s">
        <v>132</v>
      </c>
      <c r="D185" s="51"/>
      <c r="E185" s="51"/>
      <c r="F185" s="51"/>
      <c r="G185" s="51"/>
      <c r="H185" s="51"/>
      <c r="I185" s="51"/>
      <c r="J185" s="51"/>
      <c r="K185" s="51"/>
      <c r="L185" s="51"/>
      <c r="M185" s="51"/>
      <c r="N185" s="51"/>
      <c r="O185" s="53"/>
      <c r="P185" s="89" t="s">
        <v>112</v>
      </c>
      <c r="Q185" s="50" t="s">
        <v>414</v>
      </c>
      <c r="R185" s="51"/>
      <c r="S185" s="53"/>
      <c r="T185" s="50" t="s">
        <v>412</v>
      </c>
      <c r="U185" s="51"/>
      <c r="V185" s="53"/>
      <c r="W185" s="50" t="s">
        <v>411</v>
      </c>
      <c r="X185" s="51"/>
      <c r="Y185" s="53"/>
      <c r="Z185" s="81"/>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row>
    <row r="186" spans="1:59" ht="12">
      <c r="A186" s="45"/>
      <c r="B186" s="81"/>
      <c r="C186" s="25">
        <v>1</v>
      </c>
      <c r="D186" s="29"/>
      <c r="E186" s="29"/>
      <c r="F186" s="29"/>
      <c r="G186" s="29"/>
      <c r="H186" s="29"/>
      <c r="I186" s="29"/>
      <c r="J186" s="29"/>
      <c r="K186" s="29"/>
      <c r="L186" s="29"/>
      <c r="M186" s="29"/>
      <c r="N186" s="29"/>
      <c r="O186" s="44"/>
      <c r="P186" s="1">
        <v>2</v>
      </c>
      <c r="Q186" s="13">
        <v>3</v>
      </c>
      <c r="R186" s="14"/>
      <c r="S186" s="44"/>
      <c r="T186" s="13">
        <v>4</v>
      </c>
      <c r="U186" s="14"/>
      <c r="V186" s="44"/>
      <c r="W186" s="13">
        <v>5</v>
      </c>
      <c r="X186" s="14"/>
      <c r="Y186" s="44"/>
      <c r="Z186" s="81"/>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row>
    <row r="187" spans="1:59" ht="12">
      <c r="A187" s="45"/>
      <c r="B187" s="81"/>
      <c r="C187" s="20" t="s">
        <v>612</v>
      </c>
      <c r="D187" s="30"/>
      <c r="E187" s="30"/>
      <c r="F187" s="30"/>
      <c r="G187" s="30"/>
      <c r="H187" s="30"/>
      <c r="I187" s="30"/>
      <c r="J187" s="30"/>
      <c r="K187" s="30"/>
      <c r="L187" s="30"/>
      <c r="M187" s="30"/>
      <c r="N187" s="30"/>
      <c r="O187" s="90"/>
      <c r="P187" s="19" t="s">
        <v>639</v>
      </c>
      <c r="Q187" s="465">
        <v>129</v>
      </c>
      <c r="R187" s="466"/>
      <c r="S187" s="467"/>
      <c r="T187" s="465">
        <v>40505000</v>
      </c>
      <c r="U187" s="466"/>
      <c r="V187" s="467"/>
      <c r="W187" s="465">
        <v>10357000</v>
      </c>
      <c r="X187" s="466"/>
      <c r="Y187" s="467"/>
      <c r="Z187" s="81"/>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row>
    <row r="188" spans="1:59" ht="12">
      <c r="A188" s="45"/>
      <c r="B188" s="81"/>
      <c r="C188" s="20" t="s">
        <v>613</v>
      </c>
      <c r="D188" s="30"/>
      <c r="E188" s="30"/>
      <c r="F188" s="30"/>
      <c r="G188" s="30"/>
      <c r="H188" s="30"/>
      <c r="I188" s="30"/>
      <c r="J188" s="30"/>
      <c r="K188" s="30"/>
      <c r="L188" s="30"/>
      <c r="M188" s="30"/>
      <c r="N188" s="30"/>
      <c r="O188" s="90"/>
      <c r="P188" s="19" t="s">
        <v>640</v>
      </c>
      <c r="Q188" s="465">
        <f>Q189</f>
        <v>115</v>
      </c>
      <c r="R188" s="466"/>
      <c r="S188" s="467"/>
      <c r="T188" s="465">
        <f>T189</f>
        <v>36148000</v>
      </c>
      <c r="U188" s="466"/>
      <c r="V188" s="467"/>
      <c r="W188" s="465">
        <f>W189</f>
        <v>9380000</v>
      </c>
      <c r="X188" s="466"/>
      <c r="Y188" s="467"/>
      <c r="Z188" s="81"/>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row>
    <row r="189" spans="1:59" ht="12">
      <c r="A189" s="45"/>
      <c r="B189" s="81"/>
      <c r="C189" s="20" t="s">
        <v>415</v>
      </c>
      <c r="D189" s="30"/>
      <c r="E189" s="30"/>
      <c r="F189" s="30"/>
      <c r="G189" s="30"/>
      <c r="H189" s="30"/>
      <c r="I189" s="30"/>
      <c r="J189" s="30"/>
      <c r="K189" s="30"/>
      <c r="L189" s="30"/>
      <c r="M189" s="30"/>
      <c r="N189" s="30"/>
      <c r="O189" s="90"/>
      <c r="P189" s="19" t="s">
        <v>642</v>
      </c>
      <c r="Q189" s="465">
        <v>115</v>
      </c>
      <c r="R189" s="466"/>
      <c r="S189" s="467"/>
      <c r="T189" s="465">
        <v>36148000</v>
      </c>
      <c r="U189" s="466"/>
      <c r="V189" s="467"/>
      <c r="W189" s="465">
        <v>9380000</v>
      </c>
      <c r="X189" s="466"/>
      <c r="Y189" s="467"/>
      <c r="Z189" s="81"/>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row>
    <row r="190" spans="1:59" ht="12">
      <c r="A190" s="45"/>
      <c r="B190" s="81"/>
      <c r="C190" s="20" t="s">
        <v>416</v>
      </c>
      <c r="D190" s="30"/>
      <c r="E190" s="30"/>
      <c r="F190" s="30"/>
      <c r="G190" s="30"/>
      <c r="H190" s="30"/>
      <c r="I190" s="30"/>
      <c r="J190" s="30"/>
      <c r="K190" s="30"/>
      <c r="L190" s="30"/>
      <c r="M190" s="30"/>
      <c r="N190" s="30"/>
      <c r="O190" s="90"/>
      <c r="P190" s="19" t="s">
        <v>644</v>
      </c>
      <c r="Q190" s="465"/>
      <c r="R190" s="466"/>
      <c r="S190" s="467"/>
      <c r="T190" s="465"/>
      <c r="U190" s="466"/>
      <c r="V190" s="467"/>
      <c r="W190" s="465">
        <v>0</v>
      </c>
      <c r="X190" s="466"/>
      <c r="Y190" s="467"/>
      <c r="Z190" s="81"/>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row>
    <row r="191" spans="1:59" ht="12">
      <c r="A191" s="45"/>
      <c r="B191" s="81"/>
      <c r="C191" s="20" t="s">
        <v>417</v>
      </c>
      <c r="D191" s="30"/>
      <c r="E191" s="30"/>
      <c r="F191" s="30"/>
      <c r="G191" s="30"/>
      <c r="H191" s="30"/>
      <c r="I191" s="30"/>
      <c r="J191" s="30"/>
      <c r="K191" s="30"/>
      <c r="L191" s="30"/>
      <c r="M191" s="30"/>
      <c r="N191" s="30"/>
      <c r="O191" s="90"/>
      <c r="P191" s="19" t="s">
        <v>120</v>
      </c>
      <c r="Q191" s="503">
        <f>Q192+Q193</f>
        <v>14</v>
      </c>
      <c r="R191" s="504"/>
      <c r="S191" s="505"/>
      <c r="T191" s="503">
        <f>T192+T193</f>
        <v>4357000</v>
      </c>
      <c r="U191" s="504"/>
      <c r="V191" s="505"/>
      <c r="W191" s="503">
        <f>W192+W193</f>
        <v>977000</v>
      </c>
      <c r="X191" s="504"/>
      <c r="Y191" s="505"/>
      <c r="Z191" s="81"/>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row>
    <row r="192" spans="1:59" ht="12">
      <c r="A192" s="45"/>
      <c r="B192" s="81"/>
      <c r="C192" s="20" t="s">
        <v>418</v>
      </c>
      <c r="D192" s="30"/>
      <c r="E192" s="30"/>
      <c r="F192" s="30"/>
      <c r="G192" s="30"/>
      <c r="H192" s="30"/>
      <c r="I192" s="30"/>
      <c r="J192" s="30"/>
      <c r="K192" s="30"/>
      <c r="L192" s="30"/>
      <c r="M192" s="30"/>
      <c r="N192" s="30"/>
      <c r="O192" s="90"/>
      <c r="P192" s="19" t="s">
        <v>420</v>
      </c>
      <c r="Q192" s="465">
        <v>6</v>
      </c>
      <c r="R192" s="466"/>
      <c r="S192" s="467"/>
      <c r="T192" s="465">
        <f>768000+59454.54+820.9+585221.05+49545.46+2764.83+2653.09+465747.02+8951.86+1820.54+411642.78+2242.78+385940.52+29654.8+280771.55+3044.28</f>
        <v>3058275.9999999995</v>
      </c>
      <c r="U192" s="466"/>
      <c r="V192" s="467"/>
      <c r="W192" s="465">
        <v>605071.7</v>
      </c>
      <c r="X192" s="466"/>
      <c r="Y192" s="467"/>
      <c r="Z192" s="81"/>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row>
    <row r="193" spans="1:59" ht="12">
      <c r="A193" s="45"/>
      <c r="B193" s="81"/>
      <c r="C193" s="20" t="s">
        <v>419</v>
      </c>
      <c r="D193" s="30"/>
      <c r="E193" s="30"/>
      <c r="F193" s="30"/>
      <c r="G193" s="30"/>
      <c r="H193" s="30"/>
      <c r="I193" s="30"/>
      <c r="J193" s="30"/>
      <c r="K193" s="30"/>
      <c r="L193" s="30"/>
      <c r="M193" s="30"/>
      <c r="N193" s="30"/>
      <c r="O193" s="90"/>
      <c r="P193" s="19" t="s">
        <v>421</v>
      </c>
      <c r="Q193" s="465">
        <v>8</v>
      </c>
      <c r="R193" s="466"/>
      <c r="S193" s="467"/>
      <c r="T193" s="465">
        <f>4357000-T192</f>
        <v>1298724.0000000005</v>
      </c>
      <c r="U193" s="466"/>
      <c r="V193" s="467"/>
      <c r="W193" s="465">
        <f>977000-W192</f>
        <v>371928.30000000005</v>
      </c>
      <c r="X193" s="466"/>
      <c r="Y193" s="467"/>
      <c r="Z193" s="81"/>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row>
    <row r="194" spans="1:59" ht="12">
      <c r="A194" s="45"/>
      <c r="B194" s="81"/>
      <c r="C194" s="165" t="s">
        <v>262</v>
      </c>
      <c r="D194" s="165"/>
      <c r="E194" s="165"/>
      <c r="F194" s="165"/>
      <c r="G194" s="165"/>
      <c r="H194" s="165"/>
      <c r="I194" s="165"/>
      <c r="J194" s="165"/>
      <c r="K194" s="165"/>
      <c r="L194" s="165"/>
      <c r="M194" s="165"/>
      <c r="N194" s="165"/>
      <c r="O194" s="165"/>
      <c r="P194" s="166"/>
      <c r="Q194" s="166"/>
      <c r="R194" s="166"/>
      <c r="S194" s="165"/>
      <c r="T194" s="166"/>
      <c r="U194" s="165"/>
      <c r="V194" s="165"/>
      <c r="W194" s="165"/>
      <c r="X194" s="165"/>
      <c r="Y194" s="165"/>
      <c r="Z194" s="81"/>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row>
    <row r="195" spans="1:59" ht="12">
      <c r="A195" s="45"/>
      <c r="B195" s="81"/>
      <c r="C195" s="21" t="s">
        <v>258</v>
      </c>
      <c r="D195" s="30"/>
      <c r="E195" s="30"/>
      <c r="F195" s="30"/>
      <c r="G195" s="30"/>
      <c r="H195" s="30"/>
      <c r="I195" s="30"/>
      <c r="J195" s="30"/>
      <c r="K195" s="30"/>
      <c r="L195" s="30"/>
      <c r="M195" s="30"/>
      <c r="N195" s="30"/>
      <c r="O195" s="30"/>
      <c r="P195" s="7"/>
      <c r="Q195" s="7"/>
      <c r="R195" s="7"/>
      <c r="S195" s="30"/>
      <c r="T195" s="7"/>
      <c r="U195" s="30"/>
      <c r="V195" s="90"/>
      <c r="W195" s="465">
        <v>0</v>
      </c>
      <c r="X195" s="466"/>
      <c r="Y195" s="467"/>
      <c r="Z195" s="81"/>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row>
    <row r="196" spans="1:59" ht="12">
      <c r="A196" s="45"/>
      <c r="B196" s="81"/>
      <c r="C196" s="21" t="s">
        <v>796</v>
      </c>
      <c r="D196" s="30"/>
      <c r="E196" s="30"/>
      <c r="F196" s="30"/>
      <c r="G196" s="30"/>
      <c r="H196" s="30"/>
      <c r="I196" s="30"/>
      <c r="J196" s="30"/>
      <c r="K196" s="30"/>
      <c r="L196" s="30"/>
      <c r="M196" s="30"/>
      <c r="N196" s="30"/>
      <c r="O196" s="30"/>
      <c r="P196" s="7"/>
      <c r="Q196" s="7"/>
      <c r="R196" s="7"/>
      <c r="S196" s="30"/>
      <c r="T196" s="7"/>
      <c r="U196" s="30"/>
      <c r="V196" s="90"/>
      <c r="W196" s="465"/>
      <c r="X196" s="466"/>
      <c r="Y196" s="467"/>
      <c r="Z196" s="81"/>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row>
    <row r="197" spans="1:59" ht="12">
      <c r="A197" s="45"/>
      <c r="B197" s="81"/>
      <c r="C197" s="24" t="s">
        <v>0</v>
      </c>
      <c r="D197" s="30"/>
      <c r="E197" s="30"/>
      <c r="F197" s="30"/>
      <c r="G197" s="30"/>
      <c r="H197" s="30"/>
      <c r="I197" s="30"/>
      <c r="J197" s="30"/>
      <c r="K197" s="30"/>
      <c r="L197" s="30"/>
      <c r="M197" s="30"/>
      <c r="N197" s="30"/>
      <c r="O197" s="30"/>
      <c r="P197" s="7"/>
      <c r="Q197" s="7"/>
      <c r="R197" s="7"/>
      <c r="S197" s="30"/>
      <c r="T197" s="7"/>
      <c r="U197" s="30"/>
      <c r="V197" s="90"/>
      <c r="W197" s="465"/>
      <c r="X197" s="466"/>
      <c r="Y197" s="467"/>
      <c r="Z197" s="81"/>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row>
    <row r="198" spans="1:59" ht="12">
      <c r="A198" s="45"/>
      <c r="B198" s="81"/>
      <c r="C198" s="24" t="s">
        <v>259</v>
      </c>
      <c r="D198" s="30"/>
      <c r="E198" s="30"/>
      <c r="F198" s="30"/>
      <c r="G198" s="30"/>
      <c r="H198" s="30"/>
      <c r="I198" s="30"/>
      <c r="J198" s="30"/>
      <c r="K198" s="30"/>
      <c r="L198" s="30"/>
      <c r="M198" s="30"/>
      <c r="N198" s="30"/>
      <c r="O198" s="30"/>
      <c r="P198" s="7"/>
      <c r="Q198" s="7"/>
      <c r="R198" s="7"/>
      <c r="S198" s="30"/>
      <c r="T198" s="7"/>
      <c r="U198" s="30"/>
      <c r="V198" s="90"/>
      <c r="W198" s="465"/>
      <c r="X198" s="466"/>
      <c r="Y198" s="467"/>
      <c r="Z198" s="81"/>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row>
    <row r="199" spans="1:59" ht="12">
      <c r="A199" s="45"/>
      <c r="B199" s="81"/>
      <c r="C199" s="24" t="s">
        <v>260</v>
      </c>
      <c r="D199" s="30"/>
      <c r="E199" s="30"/>
      <c r="F199" s="30"/>
      <c r="G199" s="30"/>
      <c r="H199" s="30"/>
      <c r="I199" s="30"/>
      <c r="J199" s="30"/>
      <c r="K199" s="30"/>
      <c r="L199" s="30"/>
      <c r="M199" s="30"/>
      <c r="N199" s="30"/>
      <c r="O199" s="30"/>
      <c r="P199" s="7"/>
      <c r="Q199" s="7"/>
      <c r="R199" s="7"/>
      <c r="S199" s="30"/>
      <c r="T199" s="7"/>
      <c r="U199" s="30"/>
      <c r="V199" s="90"/>
      <c r="W199" s="465"/>
      <c r="X199" s="466"/>
      <c r="Y199" s="467"/>
      <c r="Z199" s="81"/>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row>
    <row r="200" spans="1:59" ht="12">
      <c r="A200" s="45"/>
      <c r="B200" s="81"/>
      <c r="C200" s="24" t="s">
        <v>261</v>
      </c>
      <c r="D200" s="30"/>
      <c r="E200" s="30"/>
      <c r="F200" s="30"/>
      <c r="G200" s="30"/>
      <c r="H200" s="30"/>
      <c r="I200" s="30"/>
      <c r="J200" s="30"/>
      <c r="K200" s="30"/>
      <c r="L200" s="30"/>
      <c r="M200" s="30"/>
      <c r="N200" s="30"/>
      <c r="O200" s="30"/>
      <c r="P200" s="7"/>
      <c r="Q200" s="7"/>
      <c r="R200" s="7"/>
      <c r="S200" s="30"/>
      <c r="T200" s="7"/>
      <c r="U200" s="30"/>
      <c r="V200" s="90"/>
      <c r="W200" s="465"/>
      <c r="X200" s="466"/>
      <c r="Y200" s="467"/>
      <c r="Z200" s="81"/>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row>
    <row r="201" spans="1:59" ht="3.75" customHeight="1">
      <c r="A201" s="45"/>
      <c r="B201" s="81"/>
      <c r="C201" s="81"/>
      <c r="D201" s="81"/>
      <c r="E201" s="81"/>
      <c r="F201" s="81"/>
      <c r="G201" s="81"/>
      <c r="H201" s="81"/>
      <c r="I201" s="81"/>
      <c r="J201" s="81"/>
      <c r="K201" s="81"/>
      <c r="L201" s="81"/>
      <c r="M201" s="81"/>
      <c r="N201" s="81"/>
      <c r="O201" s="81"/>
      <c r="P201" s="178"/>
      <c r="Q201" s="178"/>
      <c r="R201" s="178"/>
      <c r="S201" s="81"/>
      <c r="T201" s="178"/>
      <c r="U201" s="81"/>
      <c r="V201" s="81"/>
      <c r="W201" s="81"/>
      <c r="X201" s="81"/>
      <c r="Y201" s="81"/>
      <c r="Z201" s="81"/>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row>
    <row r="202" spans="1:59" ht="12">
      <c r="A202" s="45"/>
      <c r="B202" s="45"/>
      <c r="C202" s="45"/>
      <c r="D202" s="45"/>
      <c r="E202" s="45"/>
      <c r="F202" s="45"/>
      <c r="G202" s="45"/>
      <c r="H202" s="45"/>
      <c r="I202" s="45"/>
      <c r="J202" s="45"/>
      <c r="K202" s="45"/>
      <c r="L202" s="45"/>
      <c r="M202" s="45"/>
      <c r="N202" s="45"/>
      <c r="O202" s="45"/>
      <c r="P202" s="2"/>
      <c r="Q202" s="2"/>
      <c r="R202" s="2"/>
      <c r="S202" s="45"/>
      <c r="T202" s="2"/>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row>
    <row r="203" spans="1:59" ht="12">
      <c r="A203" s="45"/>
      <c r="B203" s="45"/>
      <c r="C203" s="45"/>
      <c r="D203" s="45"/>
      <c r="E203" s="45"/>
      <c r="F203" s="45"/>
      <c r="G203" s="45"/>
      <c r="H203" s="45"/>
      <c r="I203" s="45"/>
      <c r="J203" s="45"/>
      <c r="K203" s="45"/>
      <c r="L203" s="45"/>
      <c r="M203" s="45"/>
      <c r="N203" s="45"/>
      <c r="O203" s="45"/>
      <c r="P203" s="2"/>
      <c r="Q203" s="2"/>
      <c r="R203" s="2"/>
      <c r="S203" s="45"/>
      <c r="T203" s="2"/>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row>
    <row r="204" spans="1:59" ht="12">
      <c r="A204" s="45"/>
      <c r="B204" s="45"/>
      <c r="C204" s="45"/>
      <c r="D204" s="45"/>
      <c r="E204" s="45"/>
      <c r="F204" s="45"/>
      <c r="G204" s="45"/>
      <c r="H204" s="45"/>
      <c r="I204" s="45"/>
      <c r="J204" s="45"/>
      <c r="K204" s="45"/>
      <c r="L204" s="45"/>
      <c r="M204" s="45"/>
      <c r="N204" s="45"/>
      <c r="O204" s="45"/>
      <c r="P204" s="2"/>
      <c r="Q204" s="2"/>
      <c r="R204" s="2"/>
      <c r="S204" s="45"/>
      <c r="T204" s="2"/>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row>
    <row r="205" spans="1:59" ht="12">
      <c r="A205" s="45"/>
      <c r="B205" s="45"/>
      <c r="C205" s="45"/>
      <c r="D205" s="45"/>
      <c r="E205" s="45"/>
      <c r="F205" s="45"/>
      <c r="G205" s="45"/>
      <c r="H205" s="45"/>
      <c r="I205" s="45"/>
      <c r="J205" s="45"/>
      <c r="K205" s="45"/>
      <c r="L205" s="45"/>
      <c r="M205" s="45"/>
      <c r="N205" s="45"/>
      <c r="O205" s="45"/>
      <c r="P205" s="2"/>
      <c r="Q205" s="2"/>
      <c r="R205" s="2"/>
      <c r="S205" s="45"/>
      <c r="T205" s="2"/>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row>
    <row r="206" spans="1:59" ht="12">
      <c r="A206" s="45"/>
      <c r="B206" s="45"/>
      <c r="C206" s="45"/>
      <c r="D206" s="45"/>
      <c r="E206" s="45"/>
      <c r="F206" s="45"/>
      <c r="G206" s="45"/>
      <c r="H206" s="45"/>
      <c r="I206" s="45"/>
      <c r="J206" s="45"/>
      <c r="K206" s="45"/>
      <c r="L206" s="45"/>
      <c r="M206" s="45"/>
      <c r="N206" s="45"/>
      <c r="O206" s="45"/>
      <c r="P206" s="2"/>
      <c r="Q206" s="2"/>
      <c r="R206" s="2"/>
      <c r="S206" s="45"/>
      <c r="T206" s="2"/>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row>
    <row r="207" spans="1:59" ht="12">
      <c r="A207" s="45"/>
      <c r="B207" s="45"/>
      <c r="C207" s="45"/>
      <c r="D207" s="45"/>
      <c r="E207" s="45"/>
      <c r="F207" s="45"/>
      <c r="G207" s="45"/>
      <c r="H207" s="45"/>
      <c r="I207" s="45"/>
      <c r="J207" s="45"/>
      <c r="K207" s="45"/>
      <c r="L207" s="45"/>
      <c r="M207" s="45"/>
      <c r="N207" s="45"/>
      <c r="O207" s="45"/>
      <c r="P207" s="2"/>
      <c r="Q207" s="2"/>
      <c r="R207" s="2"/>
      <c r="S207" s="45"/>
      <c r="T207" s="2"/>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row>
    <row r="208" spans="1:59" ht="12">
      <c r="A208" s="45"/>
      <c r="B208" s="45"/>
      <c r="C208" s="45"/>
      <c r="D208" s="45"/>
      <c r="E208" s="45"/>
      <c r="F208" s="45"/>
      <c r="G208" s="45"/>
      <c r="H208" s="45"/>
      <c r="I208" s="45"/>
      <c r="J208" s="45"/>
      <c r="K208" s="45"/>
      <c r="L208" s="45"/>
      <c r="M208" s="45"/>
      <c r="N208" s="45"/>
      <c r="O208" s="45"/>
      <c r="P208" s="2"/>
      <c r="Q208" s="2"/>
      <c r="R208" s="2"/>
      <c r="S208" s="45"/>
      <c r="T208" s="2"/>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row>
    <row r="209" spans="1:59" ht="12">
      <c r="A209" s="45"/>
      <c r="B209" s="45"/>
      <c r="C209" s="45"/>
      <c r="D209" s="45"/>
      <c r="E209" s="45"/>
      <c r="F209" s="45"/>
      <c r="G209" s="45"/>
      <c r="H209" s="45"/>
      <c r="I209" s="45"/>
      <c r="J209" s="45"/>
      <c r="K209" s="45"/>
      <c r="L209" s="45"/>
      <c r="M209" s="45"/>
      <c r="N209" s="45"/>
      <c r="O209" s="45"/>
      <c r="P209" s="2"/>
      <c r="Q209" s="2"/>
      <c r="R209" s="2"/>
      <c r="S209" s="45"/>
      <c r="T209" s="2"/>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row>
    <row r="210" spans="1:59" ht="12">
      <c r="A210" s="45"/>
      <c r="B210" s="45"/>
      <c r="C210" s="45"/>
      <c r="D210" s="45"/>
      <c r="E210" s="45"/>
      <c r="F210" s="45"/>
      <c r="G210" s="45"/>
      <c r="H210" s="45"/>
      <c r="I210" s="45"/>
      <c r="J210" s="45"/>
      <c r="K210" s="45"/>
      <c r="L210" s="45"/>
      <c r="M210" s="45"/>
      <c r="N210" s="45"/>
      <c r="O210" s="45"/>
      <c r="P210" s="2"/>
      <c r="Q210" s="2"/>
      <c r="R210" s="2"/>
      <c r="S210" s="45"/>
      <c r="T210" s="2"/>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row>
    <row r="211" spans="1:59" ht="12">
      <c r="A211" s="45"/>
      <c r="B211" s="45"/>
      <c r="C211" s="45"/>
      <c r="D211" s="45"/>
      <c r="E211" s="45"/>
      <c r="F211" s="45"/>
      <c r="G211" s="45"/>
      <c r="H211" s="45"/>
      <c r="I211" s="45"/>
      <c r="J211" s="45"/>
      <c r="K211" s="45"/>
      <c r="L211" s="45"/>
      <c r="M211" s="45"/>
      <c r="N211" s="45"/>
      <c r="O211" s="45"/>
      <c r="P211" s="2"/>
      <c r="Q211" s="2"/>
      <c r="R211" s="2"/>
      <c r="S211" s="45"/>
      <c r="T211" s="2"/>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row>
    <row r="212" spans="1:59" ht="12">
      <c r="A212" s="45"/>
      <c r="B212" s="45"/>
      <c r="C212" s="45"/>
      <c r="D212" s="45"/>
      <c r="E212" s="45"/>
      <c r="F212" s="45"/>
      <c r="G212" s="45"/>
      <c r="H212" s="45"/>
      <c r="I212" s="45"/>
      <c r="J212" s="45"/>
      <c r="K212" s="45"/>
      <c r="L212" s="45"/>
      <c r="M212" s="45"/>
      <c r="N212" s="45"/>
      <c r="O212" s="45"/>
      <c r="P212" s="2"/>
      <c r="Q212" s="2"/>
      <c r="R212" s="2"/>
      <c r="S212" s="45"/>
      <c r="T212" s="2"/>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row>
    <row r="213" spans="1:59" ht="12">
      <c r="A213" s="45"/>
      <c r="B213" s="45"/>
      <c r="C213" s="45"/>
      <c r="D213" s="45"/>
      <c r="E213" s="45"/>
      <c r="F213" s="45"/>
      <c r="G213" s="45"/>
      <c r="H213" s="45"/>
      <c r="I213" s="45"/>
      <c r="J213" s="45"/>
      <c r="K213" s="45"/>
      <c r="L213" s="45"/>
      <c r="M213" s="45"/>
      <c r="N213" s="45"/>
      <c r="O213" s="45"/>
      <c r="P213" s="2"/>
      <c r="Q213" s="2"/>
      <c r="R213" s="2"/>
      <c r="S213" s="45"/>
      <c r="T213" s="2"/>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row>
    <row r="214" spans="1:59" ht="12">
      <c r="A214" s="45"/>
      <c r="B214" s="45"/>
      <c r="C214" s="45"/>
      <c r="D214" s="45"/>
      <c r="E214" s="45"/>
      <c r="F214" s="45"/>
      <c r="G214" s="45"/>
      <c r="H214" s="45"/>
      <c r="I214" s="45"/>
      <c r="J214" s="45"/>
      <c r="K214" s="45"/>
      <c r="L214" s="45"/>
      <c r="M214" s="45"/>
      <c r="N214" s="45"/>
      <c r="O214" s="45"/>
      <c r="P214" s="2"/>
      <c r="Q214" s="2"/>
      <c r="R214" s="2"/>
      <c r="S214" s="45"/>
      <c r="T214" s="2"/>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row>
    <row r="215" spans="1:59" ht="12">
      <c r="A215" s="45"/>
      <c r="B215" s="45"/>
      <c r="C215" s="45"/>
      <c r="D215" s="45"/>
      <c r="E215" s="45"/>
      <c r="F215" s="45"/>
      <c r="G215" s="45"/>
      <c r="H215" s="45"/>
      <c r="I215" s="45"/>
      <c r="J215" s="45"/>
      <c r="K215" s="45"/>
      <c r="L215" s="45"/>
      <c r="M215" s="45"/>
      <c r="N215" s="45"/>
      <c r="O215" s="45"/>
      <c r="P215" s="2"/>
      <c r="Q215" s="2"/>
      <c r="R215" s="2"/>
      <c r="S215" s="45"/>
      <c r="T215" s="2"/>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row>
    <row r="216" spans="1:59" ht="12">
      <c r="A216" s="45"/>
      <c r="B216" s="45"/>
      <c r="C216" s="45"/>
      <c r="D216" s="45"/>
      <c r="E216" s="45"/>
      <c r="F216" s="45"/>
      <c r="G216" s="45"/>
      <c r="H216" s="45"/>
      <c r="I216" s="45"/>
      <c r="J216" s="45"/>
      <c r="K216" s="45"/>
      <c r="L216" s="45"/>
      <c r="M216" s="45"/>
      <c r="N216" s="45"/>
      <c r="O216" s="45"/>
      <c r="P216" s="2"/>
      <c r="Q216" s="2"/>
      <c r="R216" s="2"/>
      <c r="S216" s="45"/>
      <c r="T216" s="2"/>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row>
    <row r="217" spans="1:59" ht="12">
      <c r="A217" s="45"/>
      <c r="B217" s="45"/>
      <c r="C217" s="45"/>
      <c r="D217" s="45"/>
      <c r="E217" s="45"/>
      <c r="F217" s="45"/>
      <c r="G217" s="45"/>
      <c r="H217" s="45"/>
      <c r="I217" s="45"/>
      <c r="J217" s="45"/>
      <c r="K217" s="45"/>
      <c r="L217" s="45"/>
      <c r="M217" s="45"/>
      <c r="N217" s="45"/>
      <c r="O217" s="45"/>
      <c r="P217" s="2"/>
      <c r="Q217" s="2"/>
      <c r="R217" s="2"/>
      <c r="S217" s="45"/>
      <c r="T217" s="2"/>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row>
    <row r="218" spans="1:59" ht="12">
      <c r="A218" s="45"/>
      <c r="B218" s="45"/>
      <c r="C218" s="45"/>
      <c r="D218" s="45"/>
      <c r="E218" s="45"/>
      <c r="F218" s="45"/>
      <c r="G218" s="45"/>
      <c r="H218" s="45"/>
      <c r="I218" s="45"/>
      <c r="J218" s="45"/>
      <c r="K218" s="45"/>
      <c r="L218" s="45"/>
      <c r="M218" s="45"/>
      <c r="N218" s="45"/>
      <c r="O218" s="45"/>
      <c r="P218" s="2"/>
      <c r="Q218" s="2"/>
      <c r="R218" s="2"/>
      <c r="S218" s="45"/>
      <c r="T218" s="2"/>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row>
    <row r="219" spans="1:59" ht="12">
      <c r="A219" s="45"/>
      <c r="B219" s="45"/>
      <c r="C219" s="45"/>
      <c r="D219" s="45"/>
      <c r="E219" s="45"/>
      <c r="F219" s="45"/>
      <c r="G219" s="45"/>
      <c r="H219" s="45"/>
      <c r="I219" s="45"/>
      <c r="J219" s="45"/>
      <c r="K219" s="45"/>
      <c r="L219" s="45"/>
      <c r="M219" s="45"/>
      <c r="N219" s="45"/>
      <c r="O219" s="45"/>
      <c r="P219" s="2"/>
      <c r="Q219" s="2"/>
      <c r="R219" s="2"/>
      <c r="S219" s="45"/>
      <c r="T219" s="2"/>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row>
    <row r="220" spans="1:59" ht="12">
      <c r="A220" s="45"/>
      <c r="B220" s="45"/>
      <c r="C220" s="45"/>
      <c r="D220" s="45"/>
      <c r="E220" s="45"/>
      <c r="F220" s="45"/>
      <c r="G220" s="45"/>
      <c r="H220" s="45"/>
      <c r="I220" s="45"/>
      <c r="J220" s="45"/>
      <c r="K220" s="45"/>
      <c r="L220" s="45"/>
      <c r="M220" s="45"/>
      <c r="N220" s="45"/>
      <c r="O220" s="45"/>
      <c r="P220" s="2"/>
      <c r="Q220" s="2"/>
      <c r="R220" s="2"/>
      <c r="S220" s="45"/>
      <c r="T220" s="2"/>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row>
    <row r="221" spans="1:59" ht="12">
      <c r="A221" s="45"/>
      <c r="B221" s="45"/>
      <c r="C221" s="45"/>
      <c r="D221" s="45"/>
      <c r="E221" s="45"/>
      <c r="F221" s="45"/>
      <c r="G221" s="45"/>
      <c r="H221" s="45"/>
      <c r="I221" s="45"/>
      <c r="J221" s="45"/>
      <c r="K221" s="45"/>
      <c r="L221" s="45"/>
      <c r="M221" s="45"/>
      <c r="N221" s="45"/>
      <c r="O221" s="45"/>
      <c r="P221" s="2"/>
      <c r="Q221" s="2"/>
      <c r="R221" s="2"/>
      <c r="S221" s="45"/>
      <c r="T221" s="2"/>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row>
    <row r="222" spans="1:59" ht="12">
      <c r="A222" s="45"/>
      <c r="B222" s="45"/>
      <c r="C222" s="45"/>
      <c r="D222" s="45"/>
      <c r="E222" s="45"/>
      <c r="F222" s="45"/>
      <c r="G222" s="45"/>
      <c r="H222" s="45"/>
      <c r="I222" s="45"/>
      <c r="J222" s="45"/>
      <c r="K222" s="45"/>
      <c r="L222" s="45"/>
      <c r="M222" s="45"/>
      <c r="N222" s="45"/>
      <c r="O222" s="45"/>
      <c r="P222" s="2"/>
      <c r="Q222" s="2"/>
      <c r="R222" s="2"/>
      <c r="S222" s="45"/>
      <c r="T222" s="2"/>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row>
    <row r="223" spans="1:59" ht="12">
      <c r="A223" s="45"/>
      <c r="B223" s="45"/>
      <c r="C223" s="45"/>
      <c r="D223" s="45"/>
      <c r="E223" s="45"/>
      <c r="F223" s="45"/>
      <c r="G223" s="45"/>
      <c r="H223" s="45"/>
      <c r="I223" s="45"/>
      <c r="J223" s="45"/>
      <c r="K223" s="45"/>
      <c r="L223" s="45"/>
      <c r="M223" s="45"/>
      <c r="N223" s="45"/>
      <c r="O223" s="45"/>
      <c r="P223" s="2"/>
      <c r="Q223" s="2"/>
      <c r="R223" s="2"/>
      <c r="S223" s="45"/>
      <c r="T223" s="2"/>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row>
    <row r="224" spans="1:59" ht="12">
      <c r="A224" s="45"/>
      <c r="B224" s="45"/>
      <c r="C224" s="45"/>
      <c r="D224" s="45"/>
      <c r="E224" s="45"/>
      <c r="F224" s="45"/>
      <c r="G224" s="45"/>
      <c r="H224" s="45"/>
      <c r="I224" s="45"/>
      <c r="J224" s="45"/>
      <c r="K224" s="45"/>
      <c r="L224" s="45"/>
      <c r="M224" s="45"/>
      <c r="N224" s="45"/>
      <c r="O224" s="45"/>
      <c r="P224" s="2"/>
      <c r="Q224" s="2"/>
      <c r="R224" s="2"/>
      <c r="S224" s="45"/>
      <c r="T224" s="2"/>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row>
    <row r="225" spans="1:59" ht="12">
      <c r="A225" s="45"/>
      <c r="B225" s="45"/>
      <c r="C225" s="45"/>
      <c r="D225" s="45"/>
      <c r="E225" s="45"/>
      <c r="F225" s="45"/>
      <c r="G225" s="45"/>
      <c r="H225" s="45"/>
      <c r="I225" s="45"/>
      <c r="J225" s="45"/>
      <c r="K225" s="45"/>
      <c r="L225" s="45"/>
      <c r="M225" s="45"/>
      <c r="N225" s="45"/>
      <c r="O225" s="45"/>
      <c r="P225" s="2"/>
      <c r="Q225" s="2"/>
      <c r="R225" s="2"/>
      <c r="S225" s="45"/>
      <c r="T225" s="2"/>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row>
    <row r="226" spans="1:59" ht="12">
      <c r="A226" s="45"/>
      <c r="B226" s="45"/>
      <c r="C226" s="45"/>
      <c r="D226" s="45"/>
      <c r="E226" s="45"/>
      <c r="F226" s="45"/>
      <c r="G226" s="45"/>
      <c r="H226" s="45"/>
      <c r="I226" s="45"/>
      <c r="J226" s="45"/>
      <c r="K226" s="45"/>
      <c r="L226" s="45"/>
      <c r="M226" s="45"/>
      <c r="N226" s="45"/>
      <c r="O226" s="45"/>
      <c r="P226" s="2"/>
      <c r="Q226" s="2"/>
      <c r="R226" s="2"/>
      <c r="S226" s="45"/>
      <c r="T226" s="2"/>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row>
    <row r="227" spans="1:59" ht="12">
      <c r="A227" s="45"/>
      <c r="B227" s="45"/>
      <c r="C227" s="45"/>
      <c r="D227" s="45"/>
      <c r="E227" s="45"/>
      <c r="F227" s="45"/>
      <c r="G227" s="45"/>
      <c r="H227" s="45"/>
      <c r="I227" s="45"/>
      <c r="J227" s="45"/>
      <c r="K227" s="45"/>
      <c r="L227" s="45"/>
      <c r="M227" s="45"/>
      <c r="N227" s="45"/>
      <c r="O227" s="45"/>
      <c r="P227" s="2"/>
      <c r="Q227" s="2"/>
      <c r="R227" s="2"/>
      <c r="S227" s="45"/>
      <c r="T227" s="2"/>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row>
    <row r="228" spans="1:59" ht="12">
      <c r="A228" s="45"/>
      <c r="B228" s="45"/>
      <c r="C228" s="45"/>
      <c r="D228" s="45"/>
      <c r="E228" s="45"/>
      <c r="F228" s="45"/>
      <c r="G228" s="45"/>
      <c r="H228" s="45"/>
      <c r="I228" s="45"/>
      <c r="J228" s="45"/>
      <c r="K228" s="45"/>
      <c r="L228" s="45"/>
      <c r="M228" s="45"/>
      <c r="N228" s="45"/>
      <c r="O228" s="45"/>
      <c r="P228" s="2"/>
      <c r="Q228" s="2"/>
      <c r="R228" s="2"/>
      <c r="S228" s="45"/>
      <c r="T228" s="2"/>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row>
    <row r="229" spans="1:59" ht="12">
      <c r="A229" s="45"/>
      <c r="B229" s="45"/>
      <c r="C229" s="45"/>
      <c r="D229" s="45"/>
      <c r="E229" s="45"/>
      <c r="F229" s="45"/>
      <c r="G229" s="45"/>
      <c r="H229" s="45"/>
      <c r="I229" s="45"/>
      <c r="J229" s="45"/>
      <c r="K229" s="45"/>
      <c r="L229" s="45"/>
      <c r="M229" s="45"/>
      <c r="N229" s="45"/>
      <c r="O229" s="45"/>
      <c r="P229" s="2"/>
      <c r="Q229" s="2"/>
      <c r="R229" s="2"/>
      <c r="S229" s="45"/>
      <c r="T229" s="2"/>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row>
    <row r="230" spans="1:59" ht="12">
      <c r="A230" s="45"/>
      <c r="B230" s="45"/>
      <c r="C230" s="45"/>
      <c r="D230" s="45"/>
      <c r="E230" s="45"/>
      <c r="F230" s="45"/>
      <c r="G230" s="45"/>
      <c r="H230" s="45"/>
      <c r="I230" s="45"/>
      <c r="J230" s="45"/>
      <c r="K230" s="45"/>
      <c r="L230" s="45"/>
      <c r="M230" s="45"/>
      <c r="N230" s="45"/>
      <c r="O230" s="45"/>
      <c r="P230" s="2"/>
      <c r="Q230" s="2"/>
      <c r="R230" s="2"/>
      <c r="S230" s="45"/>
      <c r="T230" s="2"/>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row>
    <row r="231" spans="1:59" ht="12">
      <c r="A231" s="45"/>
      <c r="B231" s="45"/>
      <c r="C231" s="45"/>
      <c r="D231" s="45"/>
      <c r="E231" s="45"/>
      <c r="F231" s="45"/>
      <c r="G231" s="45"/>
      <c r="H231" s="45"/>
      <c r="I231" s="45"/>
      <c r="J231" s="45"/>
      <c r="K231" s="45"/>
      <c r="L231" s="45"/>
      <c r="M231" s="45"/>
      <c r="N231" s="45"/>
      <c r="O231" s="45"/>
      <c r="P231" s="2"/>
      <c r="Q231" s="2"/>
      <c r="R231" s="2"/>
      <c r="S231" s="45"/>
      <c r="T231" s="2"/>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row>
    <row r="232" spans="1:59" ht="12">
      <c r="A232" s="45"/>
      <c r="B232" s="45"/>
      <c r="C232" s="45"/>
      <c r="D232" s="45"/>
      <c r="E232" s="45"/>
      <c r="F232" s="45"/>
      <c r="G232" s="45"/>
      <c r="H232" s="45"/>
      <c r="I232" s="45"/>
      <c r="J232" s="45"/>
      <c r="K232" s="45"/>
      <c r="L232" s="45"/>
      <c r="M232" s="45"/>
      <c r="N232" s="45"/>
      <c r="O232" s="45"/>
      <c r="P232" s="2"/>
      <c r="Q232" s="2"/>
      <c r="R232" s="2"/>
      <c r="S232" s="45"/>
      <c r="T232" s="2"/>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row>
    <row r="233" spans="1:59" ht="12">
      <c r="A233" s="45"/>
      <c r="B233" s="45"/>
      <c r="C233" s="45"/>
      <c r="D233" s="45"/>
      <c r="E233" s="45"/>
      <c r="F233" s="45"/>
      <c r="G233" s="45"/>
      <c r="H233" s="45"/>
      <c r="I233" s="45"/>
      <c r="J233" s="45"/>
      <c r="K233" s="45"/>
      <c r="L233" s="45"/>
      <c r="M233" s="45"/>
      <c r="N233" s="45"/>
      <c r="O233" s="45"/>
      <c r="P233" s="2"/>
      <c r="Q233" s="2"/>
      <c r="R233" s="2"/>
      <c r="S233" s="45"/>
      <c r="T233" s="2"/>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row>
    <row r="234" spans="1:59" ht="12">
      <c r="A234" s="45"/>
      <c r="B234" s="45"/>
      <c r="C234" s="45"/>
      <c r="D234" s="45"/>
      <c r="E234" s="45"/>
      <c r="F234" s="45"/>
      <c r="G234" s="45"/>
      <c r="H234" s="45"/>
      <c r="I234" s="45"/>
      <c r="J234" s="45"/>
      <c r="K234" s="45"/>
      <c r="L234" s="45"/>
      <c r="M234" s="45"/>
      <c r="N234" s="45"/>
      <c r="O234" s="45"/>
      <c r="P234" s="2"/>
      <c r="Q234" s="2"/>
      <c r="R234" s="2"/>
      <c r="S234" s="45"/>
      <c r="T234" s="2"/>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row>
  </sheetData>
  <sheetProtection selectLockedCells="1"/>
  <mergeCells count="314">
    <mergeCell ref="J13:K13"/>
    <mergeCell ref="L13:M13"/>
    <mergeCell ref="N13:O13"/>
    <mergeCell ref="R13:W13"/>
    <mergeCell ref="Q193:S193"/>
    <mergeCell ref="T193:V193"/>
    <mergeCell ref="W193:Y193"/>
    <mergeCell ref="T187:V187"/>
    <mergeCell ref="W187:Y187"/>
    <mergeCell ref="Q189:S189"/>
    <mergeCell ref="Q192:S192"/>
    <mergeCell ref="T192:V192"/>
    <mergeCell ref="W192:Y192"/>
    <mergeCell ref="T191:V191"/>
    <mergeCell ref="W191:Y191"/>
    <mergeCell ref="Q191:S191"/>
    <mergeCell ref="Q188:S188"/>
    <mergeCell ref="T188:V188"/>
    <mergeCell ref="W190:Y190"/>
    <mergeCell ref="N11:W11"/>
    <mergeCell ref="K10:W10"/>
    <mergeCell ref="N12:W12"/>
    <mergeCell ref="Q190:S190"/>
    <mergeCell ref="T190:V190"/>
    <mergeCell ref="W189:Y189"/>
    <mergeCell ref="R181:U181"/>
    <mergeCell ref="R177:U177"/>
    <mergeCell ref="V177:Y177"/>
    <mergeCell ref="R178:U178"/>
    <mergeCell ref="V178:Y178"/>
    <mergeCell ref="W188:Y188"/>
    <mergeCell ref="R179:U179"/>
    <mergeCell ref="V179:Y179"/>
    <mergeCell ref="R180:U180"/>
    <mergeCell ref="V180:Y180"/>
    <mergeCell ref="Q187:S187"/>
    <mergeCell ref="R174:U174"/>
    <mergeCell ref="V174:Y174"/>
    <mergeCell ref="R175:U175"/>
    <mergeCell ref="V175:Y175"/>
    <mergeCell ref="R176:U176"/>
    <mergeCell ref="V176:Y176"/>
    <mergeCell ref="R171:U171"/>
    <mergeCell ref="V171:Y171"/>
    <mergeCell ref="R172:U172"/>
    <mergeCell ref="V172:Y172"/>
    <mergeCell ref="R173:U173"/>
    <mergeCell ref="V173:Y173"/>
    <mergeCell ref="R164:U164"/>
    <mergeCell ref="V164:Y164"/>
    <mergeCell ref="R169:U169"/>
    <mergeCell ref="V169:Y169"/>
    <mergeCell ref="R170:U170"/>
    <mergeCell ref="V170:Y170"/>
    <mergeCell ref="R161:U161"/>
    <mergeCell ref="V161:Y161"/>
    <mergeCell ref="R162:U162"/>
    <mergeCell ref="V162:Y162"/>
    <mergeCell ref="R163:U163"/>
    <mergeCell ref="V163:Y163"/>
    <mergeCell ref="R160:U160"/>
    <mergeCell ref="V160:Y160"/>
    <mergeCell ref="R155:S155"/>
    <mergeCell ref="T155:U155"/>
    <mergeCell ref="V155:W155"/>
    <mergeCell ref="X155:Y155"/>
    <mergeCell ref="R153:S153"/>
    <mergeCell ref="T153:U153"/>
    <mergeCell ref="V153:W153"/>
    <mergeCell ref="X153:Y153"/>
    <mergeCell ref="R154:S154"/>
    <mergeCell ref="T154:U154"/>
    <mergeCell ref="V154:W154"/>
    <mergeCell ref="X154:Y154"/>
    <mergeCell ref="R150:S150"/>
    <mergeCell ref="T150:U150"/>
    <mergeCell ref="V150:W150"/>
    <mergeCell ref="X150:Y150"/>
    <mergeCell ref="R152:S152"/>
    <mergeCell ref="T152:U152"/>
    <mergeCell ref="V152:W152"/>
    <mergeCell ref="X152:Y152"/>
    <mergeCell ref="R148:S148"/>
    <mergeCell ref="T148:U148"/>
    <mergeCell ref="V148:W148"/>
    <mergeCell ref="X148:Y148"/>
    <mergeCell ref="R149:S149"/>
    <mergeCell ref="T149:U149"/>
    <mergeCell ref="V149:W149"/>
    <mergeCell ref="X149:Y149"/>
    <mergeCell ref="R146:S146"/>
    <mergeCell ref="T146:U146"/>
    <mergeCell ref="V146:W146"/>
    <mergeCell ref="X146:Y146"/>
    <mergeCell ref="R147:S147"/>
    <mergeCell ref="T147:U147"/>
    <mergeCell ref="V147:W147"/>
    <mergeCell ref="X147:Y147"/>
    <mergeCell ref="R144:S144"/>
    <mergeCell ref="T144:U144"/>
    <mergeCell ref="V144:W144"/>
    <mergeCell ref="X144:Y144"/>
    <mergeCell ref="R145:S145"/>
    <mergeCell ref="T145:U145"/>
    <mergeCell ref="V145:W145"/>
    <mergeCell ref="X145:Y145"/>
    <mergeCell ref="R142:S142"/>
    <mergeCell ref="T142:U142"/>
    <mergeCell ref="V142:W142"/>
    <mergeCell ref="X142:Y142"/>
    <mergeCell ref="R143:S143"/>
    <mergeCell ref="T143:U143"/>
    <mergeCell ref="V143:W143"/>
    <mergeCell ref="X143:Y143"/>
    <mergeCell ref="T139:U139"/>
    <mergeCell ref="R138:S138"/>
    <mergeCell ref="T138:U138"/>
    <mergeCell ref="R141:S141"/>
    <mergeCell ref="T141:U141"/>
    <mergeCell ref="V141:W141"/>
    <mergeCell ref="V87:W87"/>
    <mergeCell ref="X87:Y87"/>
    <mergeCell ref="V88:W88"/>
    <mergeCell ref="X88:Y88"/>
    <mergeCell ref="X138:Y138"/>
    <mergeCell ref="R140:S140"/>
    <mergeCell ref="T140:U140"/>
    <mergeCell ref="V140:W140"/>
    <mergeCell ref="X140:Y140"/>
    <mergeCell ref="R139:S139"/>
    <mergeCell ref="V84:W84"/>
    <mergeCell ref="X84:Y84"/>
    <mergeCell ref="V85:W85"/>
    <mergeCell ref="X85:Y85"/>
    <mergeCell ref="V86:W86"/>
    <mergeCell ref="X86:Y86"/>
    <mergeCell ref="V81:W81"/>
    <mergeCell ref="X81:Y81"/>
    <mergeCell ref="V82:W82"/>
    <mergeCell ref="X82:Y82"/>
    <mergeCell ref="V83:W83"/>
    <mergeCell ref="X83:Y83"/>
    <mergeCell ref="V78:W78"/>
    <mergeCell ref="X78:Y78"/>
    <mergeCell ref="V79:W79"/>
    <mergeCell ref="X79:Y79"/>
    <mergeCell ref="V80:W80"/>
    <mergeCell ref="X80:Y80"/>
    <mergeCell ref="V75:W75"/>
    <mergeCell ref="X75:Y75"/>
    <mergeCell ref="V76:W76"/>
    <mergeCell ref="X76:Y76"/>
    <mergeCell ref="V77:W77"/>
    <mergeCell ref="X77:Y77"/>
    <mergeCell ref="V72:W72"/>
    <mergeCell ref="X72:Y72"/>
    <mergeCell ref="V73:W73"/>
    <mergeCell ref="X73:Y73"/>
    <mergeCell ref="V74:W74"/>
    <mergeCell ref="X74:Y74"/>
    <mergeCell ref="V67:W67"/>
    <mergeCell ref="X67:Y67"/>
    <mergeCell ref="V69:W69"/>
    <mergeCell ref="X69:Y69"/>
    <mergeCell ref="V70:W70"/>
    <mergeCell ref="X70:Y70"/>
    <mergeCell ref="V63:W63"/>
    <mergeCell ref="X63:Y63"/>
    <mergeCell ref="V64:W64"/>
    <mergeCell ref="X64:Y64"/>
    <mergeCell ref="V65:W65"/>
    <mergeCell ref="X65:Y65"/>
    <mergeCell ref="V60:W60"/>
    <mergeCell ref="X60:Y60"/>
    <mergeCell ref="V61:W61"/>
    <mergeCell ref="X61:Y61"/>
    <mergeCell ref="V62:W62"/>
    <mergeCell ref="X62:Y62"/>
    <mergeCell ref="V57:W57"/>
    <mergeCell ref="X57:Y57"/>
    <mergeCell ref="V58:W58"/>
    <mergeCell ref="X58:Y58"/>
    <mergeCell ref="V59:W59"/>
    <mergeCell ref="X59:Y59"/>
    <mergeCell ref="V49:W49"/>
    <mergeCell ref="X49:Y49"/>
    <mergeCell ref="V50:W50"/>
    <mergeCell ref="X50:Y50"/>
    <mergeCell ref="V51:W51"/>
    <mergeCell ref="X51:Y51"/>
    <mergeCell ref="V42:W42"/>
    <mergeCell ref="X42:Y42"/>
    <mergeCell ref="V43:W43"/>
    <mergeCell ref="X43:Y43"/>
    <mergeCell ref="V48:W48"/>
    <mergeCell ref="X48:Y48"/>
    <mergeCell ref="V37:W37"/>
    <mergeCell ref="X37:Y37"/>
    <mergeCell ref="V41:W41"/>
    <mergeCell ref="X41:Y41"/>
    <mergeCell ref="V38:W38"/>
    <mergeCell ref="V39:W39"/>
    <mergeCell ref="X38:Y38"/>
    <mergeCell ref="X39:Y39"/>
    <mergeCell ref="V40:W40"/>
    <mergeCell ref="X40:Y40"/>
    <mergeCell ref="V34:W34"/>
    <mergeCell ref="X34:Y34"/>
    <mergeCell ref="V35:W35"/>
    <mergeCell ref="X35:Y35"/>
    <mergeCell ref="V36:W36"/>
    <mergeCell ref="X36:Y36"/>
    <mergeCell ref="V30:W30"/>
    <mergeCell ref="X30:Y30"/>
    <mergeCell ref="V32:W32"/>
    <mergeCell ref="X32:Y32"/>
    <mergeCell ref="V33:W33"/>
    <mergeCell ref="X33:Y33"/>
    <mergeCell ref="V26:W26"/>
    <mergeCell ref="X26:Y26"/>
    <mergeCell ref="V27:W27"/>
    <mergeCell ref="X27:Y27"/>
    <mergeCell ref="V29:W29"/>
    <mergeCell ref="X29:Y29"/>
    <mergeCell ref="V28:W28"/>
    <mergeCell ref="X28:Y28"/>
    <mergeCell ref="V96:W96"/>
    <mergeCell ref="X96:Y96"/>
    <mergeCell ref="V97:W97"/>
    <mergeCell ref="X97:Y97"/>
    <mergeCell ref="V23:W23"/>
    <mergeCell ref="X23:Y23"/>
    <mergeCell ref="V24:W24"/>
    <mergeCell ref="X24:Y24"/>
    <mergeCell ref="V25:W25"/>
    <mergeCell ref="X25:Y25"/>
    <mergeCell ref="V100:W100"/>
    <mergeCell ref="X100:Y100"/>
    <mergeCell ref="V101:W101"/>
    <mergeCell ref="X101:Y101"/>
    <mergeCell ref="V98:W98"/>
    <mergeCell ref="X98:Y98"/>
    <mergeCell ref="V99:W99"/>
    <mergeCell ref="X99:Y99"/>
    <mergeCell ref="V104:W104"/>
    <mergeCell ref="X104:Y104"/>
    <mergeCell ref="V105:W105"/>
    <mergeCell ref="X105:Y105"/>
    <mergeCell ref="V102:W102"/>
    <mergeCell ref="X102:Y102"/>
    <mergeCell ref="V103:W103"/>
    <mergeCell ref="X103:Y103"/>
    <mergeCell ref="V108:W108"/>
    <mergeCell ref="X108:Y108"/>
    <mergeCell ref="V109:W109"/>
    <mergeCell ref="X109:Y109"/>
    <mergeCell ref="V106:W106"/>
    <mergeCell ref="X106:Y106"/>
    <mergeCell ref="V107:W107"/>
    <mergeCell ref="X107:Y107"/>
    <mergeCell ref="V113:W113"/>
    <mergeCell ref="X113:Y113"/>
    <mergeCell ref="V114:W114"/>
    <mergeCell ref="X114:Y114"/>
    <mergeCell ref="V111:W111"/>
    <mergeCell ref="X111:Y111"/>
    <mergeCell ref="V112:W112"/>
    <mergeCell ref="X112:Y112"/>
    <mergeCell ref="V115:W115"/>
    <mergeCell ref="X115:Y115"/>
    <mergeCell ref="V119:W119"/>
    <mergeCell ref="X119:Y119"/>
    <mergeCell ref="V117:W117"/>
    <mergeCell ref="X117:Y117"/>
    <mergeCell ref="V118:W118"/>
    <mergeCell ref="X118:Y118"/>
    <mergeCell ref="V125:W125"/>
    <mergeCell ref="X125:Y125"/>
    <mergeCell ref="V126:W126"/>
    <mergeCell ref="X126:Y126"/>
    <mergeCell ref="V122:W122"/>
    <mergeCell ref="X122:Y122"/>
    <mergeCell ref="V123:W123"/>
    <mergeCell ref="X123:Y123"/>
    <mergeCell ref="W198:Y198"/>
    <mergeCell ref="V139:W139"/>
    <mergeCell ref="X139:Y139"/>
    <mergeCell ref="V138:W138"/>
    <mergeCell ref="V127:W127"/>
    <mergeCell ref="X127:Y127"/>
    <mergeCell ref="X141:Y141"/>
    <mergeCell ref="T189:V189"/>
    <mergeCell ref="V181:Y181"/>
    <mergeCell ref="W196:Y196"/>
    <mergeCell ref="V46:W46"/>
    <mergeCell ref="X46:Y46"/>
    <mergeCell ref="V47:W47"/>
    <mergeCell ref="X47:Y47"/>
    <mergeCell ref="W199:Y199"/>
    <mergeCell ref="W200:Y200"/>
    <mergeCell ref="V128:Y128"/>
    <mergeCell ref="V129:Y129"/>
    <mergeCell ref="W195:Y195"/>
    <mergeCell ref="W197:Y197"/>
    <mergeCell ref="V120:W120"/>
    <mergeCell ref="V121:W121"/>
    <mergeCell ref="X121:Y121"/>
    <mergeCell ref="X120:Y120"/>
    <mergeCell ref="V44:W44"/>
    <mergeCell ref="X44:Y44"/>
    <mergeCell ref="V68:W68"/>
    <mergeCell ref="X68:Y68"/>
    <mergeCell ref="V45:W45"/>
    <mergeCell ref="X45:Y45"/>
  </mergeCells>
  <conditionalFormatting sqref="C19:T19">
    <cfRule type="expression" priority="1" dxfId="1" stopIfTrue="1">
      <formula>OR($V$51&lt;&gt;$V$88,$X$51&lt;&gt;$X$88)</formula>
    </cfRule>
  </conditionalFormatting>
  <dataValidations count="2">
    <dataValidation type="textLength" operator="equal" allowBlank="1" showInputMessage="1" showErrorMessage="1" error="Год введен неверно!" sqref="J13:J14">
      <formula1>4</formula1>
    </dataValidation>
    <dataValidation type="list" allowBlank="1" showInputMessage="1" showErrorMessage="1" sqref="N13:O14">
      <formula1>$AO$3:$AO$8</formula1>
    </dataValidation>
  </dataValidations>
  <printOptions/>
  <pageMargins left="1.25" right="0.75" top="1" bottom="1" header="0.5" footer="0.5"/>
  <pageSetup horizontalDpi="120" verticalDpi="120" orientation="portrait" paperSize="9" scale="93" r:id="rId2"/>
  <headerFooter alignWithMargins="0">
    <oddHeader>&amp;C&amp;A&amp;RСтраница &amp;P</oddHeader>
  </headerFooter>
  <rowBreaks count="2" manualBreakCount="2">
    <brk id="88" min="1" max="25" man="1"/>
    <brk id="155" min="1" max="25" man="1"/>
  </rowBreaks>
  <drawing r:id="rId1"/>
</worksheet>
</file>

<file path=xl/worksheets/sheet2.xml><?xml version="1.0" encoding="utf-8"?>
<worksheet xmlns="http://schemas.openxmlformats.org/spreadsheetml/2006/main" xmlns:r="http://schemas.openxmlformats.org/officeDocument/2006/relationships">
  <dimension ref="A1:AC286"/>
  <sheetViews>
    <sheetView showGridLines="0" showZeros="0" defaultGridColor="0" zoomScalePageLayoutView="0" colorId="18" workbookViewId="0" topLeftCell="A1">
      <selection activeCell="B6" sqref="B6:F80"/>
    </sheetView>
  </sheetViews>
  <sheetFormatPr defaultColWidth="9.00390625" defaultRowHeight="12"/>
  <cols>
    <col min="1" max="1" width="7.25390625" style="327" customWidth="1"/>
    <col min="2" max="2" width="4.75390625" style="450" customWidth="1"/>
    <col min="3" max="3" width="61.00390625" style="327" customWidth="1"/>
    <col min="4" max="4" width="10.375" style="327" bestFit="1" customWidth="1"/>
    <col min="5" max="5" width="10.00390625" style="327" bestFit="1" customWidth="1"/>
    <col min="6" max="6" width="9.875" style="327" customWidth="1"/>
    <col min="7" max="7" width="2.25390625" style="327" customWidth="1"/>
    <col min="8" max="16384" width="9.125" style="327" customWidth="1"/>
  </cols>
  <sheetData>
    <row r="1" spans="1:29" ht="12">
      <c r="A1" s="325"/>
      <c r="B1" s="326"/>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row>
    <row r="2" spans="1:29" ht="20.25">
      <c r="A2" s="328"/>
      <c r="B2" s="329" t="s">
        <v>357</v>
      </c>
      <c r="C2" s="330"/>
      <c r="D2" s="331"/>
      <c r="E2" s="331"/>
      <c r="F2" s="331"/>
      <c r="G2" s="328"/>
      <c r="H2" s="328"/>
      <c r="I2" s="328"/>
      <c r="J2" s="325"/>
      <c r="K2" s="325"/>
      <c r="L2" s="325"/>
      <c r="M2" s="325"/>
      <c r="N2" s="325"/>
      <c r="O2" s="325"/>
      <c r="P2" s="325"/>
      <c r="Q2" s="325"/>
      <c r="R2" s="325"/>
      <c r="S2" s="325"/>
      <c r="T2" s="325"/>
      <c r="U2" s="325"/>
      <c r="V2" s="325"/>
      <c r="W2" s="325"/>
      <c r="X2" s="325"/>
      <c r="Y2" s="325"/>
      <c r="Z2" s="325"/>
      <c r="AA2" s="325"/>
      <c r="AB2" s="325"/>
      <c r="AC2" s="325"/>
    </row>
    <row r="3" spans="1:29" ht="18">
      <c r="A3" s="328"/>
      <c r="B3" s="330"/>
      <c r="C3" s="330"/>
      <c r="D3" s="331"/>
      <c r="E3" s="331"/>
      <c r="F3" s="331"/>
      <c r="G3" s="328"/>
      <c r="H3" s="328"/>
      <c r="I3" s="328"/>
      <c r="J3" s="325"/>
      <c r="K3" s="325"/>
      <c r="L3" s="325"/>
      <c r="M3" s="325"/>
      <c r="N3" s="325"/>
      <c r="O3" s="325"/>
      <c r="P3" s="325"/>
      <c r="Q3" s="325"/>
      <c r="R3" s="325"/>
      <c r="S3" s="325"/>
      <c r="T3" s="325"/>
      <c r="U3" s="325"/>
      <c r="V3" s="325"/>
      <c r="W3" s="325"/>
      <c r="X3" s="325"/>
      <c r="Y3" s="325"/>
      <c r="Z3" s="325"/>
      <c r="AA3" s="325"/>
      <c r="AB3" s="325"/>
      <c r="AC3" s="325"/>
    </row>
    <row r="4" spans="1:29" ht="15.75">
      <c r="A4" s="325"/>
      <c r="B4" s="332" t="str">
        <f>ВводДанных!K10</f>
        <v>ООО"ПИК-ПОДЪЕМ" </v>
      </c>
      <c r="C4" s="333"/>
      <c r="D4" s="333"/>
      <c r="E4" s="333"/>
      <c r="F4" s="333"/>
      <c r="G4" s="325"/>
      <c r="H4" s="325"/>
      <c r="I4" s="325"/>
      <c r="J4" s="325"/>
      <c r="K4" s="325"/>
      <c r="L4" s="325"/>
      <c r="M4" s="325"/>
      <c r="N4" s="325"/>
      <c r="O4" s="325"/>
      <c r="P4" s="325"/>
      <c r="Q4" s="325"/>
      <c r="R4" s="325"/>
      <c r="S4" s="325"/>
      <c r="T4" s="325"/>
      <c r="U4" s="325"/>
      <c r="V4" s="325"/>
      <c r="W4" s="325"/>
      <c r="X4" s="325"/>
      <c r="Y4" s="325"/>
      <c r="Z4" s="325"/>
      <c r="AA4" s="325"/>
      <c r="AB4" s="325"/>
      <c r="AC4" s="325"/>
    </row>
    <row r="5" spans="1:29" ht="15" thickBot="1">
      <c r="A5" s="325"/>
      <c r="B5" s="334" t="str">
        <f>ВводДанных!C91</f>
        <v>с 1 января по 30 июня  2010 г.</v>
      </c>
      <c r="C5" s="333"/>
      <c r="D5" s="333"/>
      <c r="E5" s="333"/>
      <c r="F5" s="333"/>
      <c r="G5" s="325"/>
      <c r="H5" s="325"/>
      <c r="I5" s="325"/>
      <c r="J5" s="325"/>
      <c r="K5" s="325"/>
      <c r="L5" s="325"/>
      <c r="M5" s="325"/>
      <c r="N5" s="325"/>
      <c r="O5" s="325"/>
      <c r="P5" s="325"/>
      <c r="Q5" s="325"/>
      <c r="R5" s="325"/>
      <c r="S5" s="325"/>
      <c r="T5" s="325"/>
      <c r="U5" s="325"/>
      <c r="V5" s="325"/>
      <c r="W5" s="325"/>
      <c r="X5" s="325"/>
      <c r="Y5" s="325"/>
      <c r="Z5" s="325"/>
      <c r="AA5" s="325"/>
      <c r="AB5" s="325"/>
      <c r="AC5" s="325"/>
    </row>
    <row r="6" spans="1:29" ht="15" thickTop="1">
      <c r="A6" s="325"/>
      <c r="B6" s="335" t="s">
        <v>496</v>
      </c>
      <c r="C6" s="336"/>
      <c r="D6" s="336"/>
      <c r="E6" s="336"/>
      <c r="F6" s="337"/>
      <c r="G6" s="325"/>
      <c r="H6" s="325"/>
      <c r="I6" s="325"/>
      <c r="J6" s="325"/>
      <c r="K6" s="325"/>
      <c r="L6" s="325"/>
      <c r="M6" s="325"/>
      <c r="N6" s="325"/>
      <c r="O6" s="325"/>
      <c r="P6" s="325"/>
      <c r="Q6" s="325"/>
      <c r="R6" s="325"/>
      <c r="S6" s="325"/>
      <c r="T6" s="325"/>
      <c r="U6" s="325"/>
      <c r="V6" s="325"/>
      <c r="W6" s="325"/>
      <c r="X6" s="325"/>
      <c r="Y6" s="325"/>
      <c r="Z6" s="325"/>
      <c r="AA6" s="325"/>
      <c r="AB6" s="325"/>
      <c r="AC6" s="325"/>
    </row>
    <row r="7" spans="1:29" ht="12">
      <c r="A7" s="325"/>
      <c r="B7" s="338" t="s">
        <v>129</v>
      </c>
      <c r="C7" s="339" t="s">
        <v>131</v>
      </c>
      <c r="D7" s="339" t="s">
        <v>113</v>
      </c>
      <c r="E7" s="339" t="s">
        <v>115</v>
      </c>
      <c r="F7" s="340" t="s">
        <v>358</v>
      </c>
      <c r="G7" s="325"/>
      <c r="H7" s="325"/>
      <c r="I7" s="325"/>
      <c r="J7" s="325"/>
      <c r="K7" s="325"/>
      <c r="L7" s="325"/>
      <c r="M7" s="325"/>
      <c r="N7" s="325"/>
      <c r="O7" s="325"/>
      <c r="P7" s="325"/>
      <c r="Q7" s="325"/>
      <c r="R7" s="325"/>
      <c r="S7" s="325"/>
      <c r="T7" s="325"/>
      <c r="U7" s="325"/>
      <c r="V7" s="325"/>
      <c r="W7" s="325"/>
      <c r="X7" s="325"/>
      <c r="Y7" s="325"/>
      <c r="Z7" s="325"/>
      <c r="AA7" s="325"/>
      <c r="AB7" s="325"/>
      <c r="AC7" s="325"/>
    </row>
    <row r="8" spans="1:29" ht="12">
      <c r="A8" s="325"/>
      <c r="B8" s="341" t="s">
        <v>130</v>
      </c>
      <c r="C8" s="342" t="s">
        <v>132</v>
      </c>
      <c r="D8" s="342" t="s">
        <v>114</v>
      </c>
      <c r="E8" s="342" t="s">
        <v>735</v>
      </c>
      <c r="F8" s="343" t="s">
        <v>355</v>
      </c>
      <c r="G8" s="325"/>
      <c r="H8" s="325"/>
      <c r="I8" s="325"/>
      <c r="J8" s="325"/>
      <c r="K8" s="325"/>
      <c r="L8" s="325"/>
      <c r="M8" s="325"/>
      <c r="N8" s="325"/>
      <c r="O8" s="325"/>
      <c r="P8" s="325"/>
      <c r="Q8" s="325"/>
      <c r="R8" s="325"/>
      <c r="S8" s="325"/>
      <c r="T8" s="325"/>
      <c r="U8" s="325"/>
      <c r="V8" s="325"/>
      <c r="W8" s="325"/>
      <c r="X8" s="325"/>
      <c r="Y8" s="325"/>
      <c r="Z8" s="325"/>
      <c r="AA8" s="325"/>
      <c r="AB8" s="325"/>
      <c r="AC8" s="325"/>
    </row>
    <row r="9" spans="1:29" ht="12">
      <c r="A9" s="325"/>
      <c r="B9" s="344" t="s">
        <v>588</v>
      </c>
      <c r="C9" s="345" t="s">
        <v>497</v>
      </c>
      <c r="D9" s="346">
        <f>ВводДанных!V50/ВводДанных!V30</f>
        <v>78.03813559322033</v>
      </c>
      <c r="E9" s="346">
        <f>ВводДанных!X50/ВводДанных!X30</f>
        <v>85.08851884312007</v>
      </c>
      <c r="F9" s="347" t="s">
        <v>369</v>
      </c>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12">
      <c r="A10" s="325"/>
      <c r="B10" s="344" t="s">
        <v>589</v>
      </c>
      <c r="C10" s="345" t="s">
        <v>498</v>
      </c>
      <c r="D10" s="348">
        <f>(ВводДанных!V25+ВводДанных!V26+ВводДанных!V27)/ВводДанных!V30</f>
        <v>0</v>
      </c>
      <c r="E10" s="348">
        <f>(ВводДанных!X25+ВводДанных!X26+ВводДанных!X27)/ВводДанных!X30</f>
        <v>0</v>
      </c>
      <c r="F10" s="347" t="s">
        <v>369</v>
      </c>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row>
    <row r="11" spans="1:29" ht="12">
      <c r="A11" s="325"/>
      <c r="B11" s="344" t="s">
        <v>590</v>
      </c>
      <c r="C11" s="345" t="s">
        <v>499</v>
      </c>
      <c r="D11" s="349">
        <f>(ВводДанных!V24+ВводДанных!V33+ВводДанных!V34+ВводДанных!V35)/ВводДанных!V51</f>
        <v>0.01744729772392883</v>
      </c>
      <c r="E11" s="348">
        <f>(ВводДанных!X24+ВводДанных!X33+ВводДанных!X34+ВводДанных!X35)/ВводДанных!X51</f>
        <v>0.041485538599366774</v>
      </c>
      <c r="F11" s="347" t="s">
        <v>369</v>
      </c>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row>
    <row r="12" spans="1:29" ht="12">
      <c r="A12" s="325"/>
      <c r="B12" s="344" t="s">
        <v>591</v>
      </c>
      <c r="C12" s="345" t="s">
        <v>500</v>
      </c>
      <c r="D12" s="456">
        <f>ВводДанных!V46+ВводДанных!V48</f>
        <v>14919</v>
      </c>
      <c r="E12" s="346">
        <f>ВводДанных!X46+ВводДанных!X48</f>
        <v>757</v>
      </c>
      <c r="F12" s="347" t="s">
        <v>369</v>
      </c>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row>
    <row r="13" spans="1:29" ht="12">
      <c r="A13" s="325"/>
      <c r="B13" s="344" t="s">
        <v>592</v>
      </c>
      <c r="C13" s="345" t="s">
        <v>501</v>
      </c>
      <c r="D13" s="456">
        <f>ВводДанных!V43+ВводДанных!V49</f>
        <v>144801</v>
      </c>
      <c r="E13" s="346">
        <f>ВводДанных!X43+ВводДанных!X49</f>
        <v>91849</v>
      </c>
      <c r="F13" s="347" t="s">
        <v>369</v>
      </c>
      <c r="G13" s="350"/>
      <c r="H13" s="325"/>
      <c r="I13" s="325"/>
      <c r="J13" s="325"/>
      <c r="K13" s="325"/>
      <c r="L13" s="325"/>
      <c r="M13" s="325"/>
      <c r="N13" s="325"/>
      <c r="O13" s="325"/>
      <c r="P13" s="325"/>
      <c r="Q13" s="325"/>
      <c r="R13" s="325"/>
      <c r="S13" s="325"/>
      <c r="T13" s="325"/>
      <c r="U13" s="325"/>
      <c r="V13" s="325"/>
      <c r="W13" s="325"/>
      <c r="X13" s="325"/>
      <c r="Y13" s="325"/>
      <c r="Z13" s="325"/>
      <c r="AA13" s="325"/>
      <c r="AB13" s="325"/>
      <c r="AC13" s="325"/>
    </row>
    <row r="14" spans="1:29" ht="12">
      <c r="A14" s="325"/>
      <c r="B14" s="344" t="s">
        <v>173</v>
      </c>
      <c r="C14" s="345" t="s">
        <v>502</v>
      </c>
      <c r="D14" s="456">
        <f>ВводДанных!V32+ВводДанных!V41</f>
        <v>6033</v>
      </c>
      <c r="E14" s="346">
        <f>ВводДанных!X32+ВводДанных!X41</f>
        <v>4480</v>
      </c>
      <c r="F14" s="347" t="s">
        <v>369</v>
      </c>
      <c r="G14" s="351"/>
      <c r="H14" s="325"/>
      <c r="I14" s="325"/>
      <c r="J14" s="325"/>
      <c r="K14" s="325"/>
      <c r="L14" s="325"/>
      <c r="M14" s="325"/>
      <c r="N14" s="325"/>
      <c r="O14" s="325"/>
      <c r="P14" s="325"/>
      <c r="Q14" s="325"/>
      <c r="R14" s="325"/>
      <c r="S14" s="325"/>
      <c r="T14" s="325"/>
      <c r="U14" s="325"/>
      <c r="V14" s="325"/>
      <c r="W14" s="325"/>
      <c r="X14" s="325"/>
      <c r="Y14" s="325"/>
      <c r="Z14" s="325"/>
      <c r="AA14" s="325"/>
      <c r="AB14" s="325"/>
      <c r="AC14" s="325"/>
    </row>
    <row r="15" spans="1:29" ht="12">
      <c r="A15" s="325"/>
      <c r="B15" s="344" t="s">
        <v>593</v>
      </c>
      <c r="C15" s="345" t="s">
        <v>509</v>
      </c>
      <c r="D15" s="456">
        <f>ВводДанных!V30+ВводДанных!V42</f>
        <v>2124</v>
      </c>
      <c r="E15" s="346">
        <f>ВводДанных!X30+ВводДанных!X42</f>
        <v>1141</v>
      </c>
      <c r="F15" s="347" t="s">
        <v>369</v>
      </c>
      <c r="G15" s="351"/>
      <c r="H15" s="325"/>
      <c r="I15" s="325"/>
      <c r="J15" s="325"/>
      <c r="K15" s="325"/>
      <c r="L15" s="325"/>
      <c r="M15" s="325"/>
      <c r="N15" s="325"/>
      <c r="O15" s="325"/>
      <c r="P15" s="325"/>
      <c r="Q15" s="325"/>
      <c r="R15" s="325"/>
      <c r="S15" s="325"/>
      <c r="T15" s="325"/>
      <c r="U15" s="325"/>
      <c r="V15" s="325"/>
      <c r="W15" s="325"/>
      <c r="X15" s="325"/>
      <c r="Y15" s="325"/>
      <c r="Z15" s="325"/>
      <c r="AA15" s="325"/>
      <c r="AB15" s="325"/>
      <c r="AC15" s="325"/>
    </row>
    <row r="16" spans="1:29" ht="12">
      <c r="A16" s="325"/>
      <c r="B16" s="344" t="s">
        <v>503</v>
      </c>
      <c r="C16" s="345" t="s">
        <v>510</v>
      </c>
      <c r="D16" s="456">
        <f>D12+D13</f>
        <v>159720</v>
      </c>
      <c r="E16" s="346">
        <f>E12+E13</f>
        <v>92606</v>
      </c>
      <c r="F16" s="347" t="s">
        <v>369</v>
      </c>
      <c r="G16" s="351"/>
      <c r="H16" s="325"/>
      <c r="I16" s="325"/>
      <c r="J16" s="325"/>
      <c r="K16" s="325"/>
      <c r="L16" s="325"/>
      <c r="M16" s="325"/>
      <c r="N16" s="325"/>
      <c r="O16" s="325"/>
      <c r="P16" s="325"/>
      <c r="Q16" s="325"/>
      <c r="R16" s="325"/>
      <c r="S16" s="325"/>
      <c r="T16" s="325"/>
      <c r="U16" s="325"/>
      <c r="V16" s="325"/>
      <c r="W16" s="325"/>
      <c r="X16" s="325"/>
      <c r="Y16" s="325"/>
      <c r="Z16" s="325"/>
      <c r="AA16" s="325"/>
      <c r="AB16" s="325"/>
      <c r="AC16" s="325"/>
    </row>
    <row r="17" spans="1:29" ht="12">
      <c r="A17" s="325"/>
      <c r="B17" s="344" t="s">
        <v>504</v>
      </c>
      <c r="C17" s="345" t="s">
        <v>511</v>
      </c>
      <c r="D17" s="456">
        <f>ВводДанных!V30</f>
        <v>2124</v>
      </c>
      <c r="E17" s="346">
        <f>ВводДанных!X30</f>
        <v>1141</v>
      </c>
      <c r="F17" s="347" t="s">
        <v>369</v>
      </c>
      <c r="G17" s="351"/>
      <c r="H17" s="325"/>
      <c r="I17" s="325"/>
      <c r="J17" s="325"/>
      <c r="K17" s="325"/>
      <c r="L17" s="325"/>
      <c r="M17" s="325"/>
      <c r="N17" s="325"/>
      <c r="O17" s="325"/>
      <c r="P17" s="325"/>
      <c r="Q17" s="325"/>
      <c r="R17" s="325"/>
      <c r="S17" s="325"/>
      <c r="T17" s="325"/>
      <c r="U17" s="325"/>
      <c r="V17" s="325"/>
      <c r="W17" s="325"/>
      <c r="X17" s="325"/>
      <c r="Y17" s="325"/>
      <c r="Z17" s="325"/>
      <c r="AA17" s="325"/>
      <c r="AB17" s="325"/>
      <c r="AC17" s="325"/>
    </row>
    <row r="18" spans="1:29" ht="12">
      <c r="A18" s="325"/>
      <c r="B18" s="344" t="s">
        <v>505</v>
      </c>
      <c r="C18" s="345" t="s">
        <v>512</v>
      </c>
      <c r="D18" s="456">
        <f>ВводДанных!V32+ВводДанных!V41</f>
        <v>6033</v>
      </c>
      <c r="E18" s="346">
        <f>ВводДанных!X32+ВводДанных!X41</f>
        <v>4480</v>
      </c>
      <c r="F18" s="347" t="s">
        <v>369</v>
      </c>
      <c r="G18" s="351"/>
      <c r="H18" s="325"/>
      <c r="I18" s="325"/>
      <c r="J18" s="325"/>
      <c r="K18" s="325"/>
      <c r="L18" s="325"/>
      <c r="M18" s="325"/>
      <c r="N18" s="325"/>
      <c r="O18" s="325"/>
      <c r="P18" s="325"/>
      <c r="Q18" s="325"/>
      <c r="R18" s="325"/>
      <c r="S18" s="325"/>
      <c r="T18" s="325"/>
      <c r="U18" s="325"/>
      <c r="V18" s="325"/>
      <c r="W18" s="325"/>
      <c r="X18" s="325"/>
      <c r="Y18" s="325"/>
      <c r="Z18" s="325"/>
      <c r="AA18" s="325"/>
      <c r="AB18" s="325"/>
      <c r="AC18" s="325"/>
    </row>
    <row r="19" spans="1:29" ht="12" hidden="1">
      <c r="A19" s="325"/>
      <c r="B19" s="344" t="s">
        <v>506</v>
      </c>
      <c r="C19" s="345" t="s">
        <v>513</v>
      </c>
      <c r="D19" s="456">
        <f>ВводДанных!V27+ВводДанных!V46</f>
        <v>0</v>
      </c>
      <c r="E19" s="346">
        <f>ВводДанных!X27+ВводДанных!X46</f>
        <v>0</v>
      </c>
      <c r="F19" s="347" t="s">
        <v>369</v>
      </c>
      <c r="G19" s="351"/>
      <c r="H19" s="325"/>
      <c r="I19" s="325"/>
      <c r="J19" s="325"/>
      <c r="K19" s="325"/>
      <c r="L19" s="325"/>
      <c r="M19" s="325"/>
      <c r="N19" s="325"/>
      <c r="O19" s="325"/>
      <c r="P19" s="325"/>
      <c r="Q19" s="325"/>
      <c r="R19" s="325"/>
      <c r="S19" s="325"/>
      <c r="T19" s="325"/>
      <c r="U19" s="325"/>
      <c r="V19" s="325"/>
      <c r="W19" s="325"/>
      <c r="X19" s="325"/>
      <c r="Y19" s="325"/>
      <c r="Z19" s="325"/>
      <c r="AA19" s="325"/>
      <c r="AB19" s="325"/>
      <c r="AC19" s="325"/>
    </row>
    <row r="20" spans="1:29" ht="12" hidden="1">
      <c r="A20" s="325"/>
      <c r="B20" s="344" t="s">
        <v>507</v>
      </c>
      <c r="C20" s="345" t="s">
        <v>514</v>
      </c>
      <c r="D20" s="457"/>
      <c r="E20" s="346"/>
      <c r="F20" s="347" t="s">
        <v>369</v>
      </c>
      <c r="G20" s="351"/>
      <c r="H20" s="325"/>
      <c r="I20" s="325"/>
      <c r="J20" s="325"/>
      <c r="K20" s="325"/>
      <c r="L20" s="325"/>
      <c r="M20" s="325"/>
      <c r="N20" s="325"/>
      <c r="O20" s="325"/>
      <c r="P20" s="325"/>
      <c r="Q20" s="325"/>
      <c r="R20" s="325"/>
      <c r="S20" s="325"/>
      <c r="T20" s="325"/>
      <c r="U20" s="325"/>
      <c r="V20" s="325"/>
      <c r="W20" s="325"/>
      <c r="X20" s="325"/>
      <c r="Y20" s="325"/>
      <c r="Z20" s="325"/>
      <c r="AA20" s="325"/>
      <c r="AB20" s="325"/>
      <c r="AC20" s="325"/>
    </row>
    <row r="21" spans="1:29" ht="12.75" thickBot="1">
      <c r="A21" s="325"/>
      <c r="B21" s="344" t="s">
        <v>508</v>
      </c>
      <c r="C21" s="345" t="s">
        <v>515</v>
      </c>
      <c r="D21" s="349">
        <f>0/(ВводДанных!V42+ВводДанных!V43)</f>
        <v>0</v>
      </c>
      <c r="E21" s="348">
        <f>8268/(ВводДанных!X42+ВводДанных!X43)</f>
        <v>0.09086513100052752</v>
      </c>
      <c r="F21" s="347" t="s">
        <v>369</v>
      </c>
      <c r="G21" s="351"/>
      <c r="H21" s="325"/>
      <c r="I21" s="325"/>
      <c r="J21" s="325"/>
      <c r="K21" s="325"/>
      <c r="L21" s="325"/>
      <c r="M21" s="325"/>
      <c r="N21" s="325"/>
      <c r="O21" s="325"/>
      <c r="P21" s="325"/>
      <c r="Q21" s="325"/>
      <c r="R21" s="325"/>
      <c r="S21" s="325"/>
      <c r="T21" s="325"/>
      <c r="U21" s="325"/>
      <c r="V21" s="325"/>
      <c r="W21" s="325"/>
      <c r="X21" s="325"/>
      <c r="Y21" s="325"/>
      <c r="Z21" s="325"/>
      <c r="AA21" s="325"/>
      <c r="AB21" s="325"/>
      <c r="AC21" s="325"/>
    </row>
    <row r="22" spans="1:29" ht="15" thickTop="1">
      <c r="A22" s="325"/>
      <c r="B22" s="335" t="s">
        <v>516</v>
      </c>
      <c r="C22" s="336"/>
      <c r="D22" s="336"/>
      <c r="E22" s="336"/>
      <c r="F22" s="337"/>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row>
    <row r="23" spans="1:29" ht="12">
      <c r="A23" s="325"/>
      <c r="B23" s="338" t="s">
        <v>129</v>
      </c>
      <c r="C23" s="339" t="s">
        <v>131</v>
      </c>
      <c r="D23" s="339" t="s">
        <v>113</v>
      </c>
      <c r="E23" s="339" t="s">
        <v>115</v>
      </c>
      <c r="F23" s="340" t="s">
        <v>358</v>
      </c>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row>
    <row r="24" spans="1:29" ht="12">
      <c r="A24" s="325"/>
      <c r="B24" s="341" t="s">
        <v>130</v>
      </c>
      <c r="C24" s="342" t="s">
        <v>132</v>
      </c>
      <c r="D24" s="342" t="s">
        <v>114</v>
      </c>
      <c r="E24" s="342" t="s">
        <v>735</v>
      </c>
      <c r="F24" s="343" t="s">
        <v>355</v>
      </c>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row>
    <row r="25" spans="1:29" ht="12">
      <c r="A25" s="325"/>
      <c r="B25" s="344" t="s">
        <v>137</v>
      </c>
      <c r="C25" s="345" t="s">
        <v>521</v>
      </c>
      <c r="D25" s="346">
        <f>ВводДанных!V65+ВводДанных!V84</f>
        <v>23105</v>
      </c>
      <c r="E25" s="346">
        <f>ВводДанных!X65+ВводДанных!X84</f>
        <v>26090</v>
      </c>
      <c r="F25" s="347" t="s">
        <v>369</v>
      </c>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row>
    <row r="26" spans="1:29" ht="12">
      <c r="A26" s="325"/>
      <c r="B26" s="344" t="s">
        <v>133</v>
      </c>
      <c r="C26" s="345" t="s">
        <v>522</v>
      </c>
      <c r="D26" s="346">
        <f>ВводДанных!V70+ВводДанных!V87-ВводДанных!V84</f>
        <v>144772</v>
      </c>
      <c r="E26" s="346">
        <f>ВводДанных!X70+ВводДанных!X87-ВводДанных!X84</f>
        <v>72137</v>
      </c>
      <c r="F26" s="347" t="s">
        <v>369</v>
      </c>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row>
    <row r="27" spans="1:29" ht="12">
      <c r="A27" s="325"/>
      <c r="B27" s="344" t="s">
        <v>594</v>
      </c>
      <c r="C27" s="345" t="s">
        <v>523</v>
      </c>
      <c r="D27" s="346">
        <f>ВводДанных!V70</f>
        <v>789</v>
      </c>
      <c r="E27" s="346">
        <f>ВводДанных!X70</f>
        <v>167</v>
      </c>
      <c r="F27" s="347" t="s">
        <v>369</v>
      </c>
      <c r="G27" s="351"/>
      <c r="H27" s="325"/>
      <c r="I27" s="325"/>
      <c r="J27" s="325"/>
      <c r="K27" s="325"/>
      <c r="L27" s="325"/>
      <c r="M27" s="325"/>
      <c r="N27" s="325"/>
      <c r="O27" s="325"/>
      <c r="P27" s="325"/>
      <c r="Q27" s="325"/>
      <c r="R27" s="325"/>
      <c r="S27" s="325"/>
      <c r="T27" s="325"/>
      <c r="U27" s="325"/>
      <c r="V27" s="325"/>
      <c r="W27" s="325"/>
      <c r="X27" s="325"/>
      <c r="Y27" s="325"/>
      <c r="Z27" s="325"/>
      <c r="AA27" s="325"/>
      <c r="AB27" s="325"/>
      <c r="AC27" s="325"/>
    </row>
    <row r="28" spans="1:29" ht="24">
      <c r="A28" s="325"/>
      <c r="B28" s="344" t="s">
        <v>596</v>
      </c>
      <c r="C28" s="458" t="s">
        <v>524</v>
      </c>
      <c r="D28" s="346">
        <f>ВводДанных!V65+ВводДанных!V70+ВводДанных!V84</f>
        <v>23894</v>
      </c>
      <c r="E28" s="346">
        <f>ВводДанных!X65+ВводДанных!X70+ВводДанных!X84</f>
        <v>26257</v>
      </c>
      <c r="F28" s="347" t="s">
        <v>369</v>
      </c>
      <c r="G28" s="351"/>
      <c r="H28" s="325"/>
      <c r="I28" s="325"/>
      <c r="J28" s="325"/>
      <c r="K28" s="325"/>
      <c r="L28" s="325"/>
      <c r="M28" s="325"/>
      <c r="N28" s="325"/>
      <c r="O28" s="325"/>
      <c r="P28" s="325"/>
      <c r="Q28" s="325"/>
      <c r="R28" s="325"/>
      <c r="S28" s="325"/>
      <c r="T28" s="325"/>
      <c r="U28" s="325"/>
      <c r="V28" s="325"/>
      <c r="W28" s="325"/>
      <c r="X28" s="325"/>
      <c r="Y28" s="325"/>
      <c r="Z28" s="325"/>
      <c r="AA28" s="325"/>
      <c r="AB28" s="325"/>
      <c r="AC28" s="325"/>
    </row>
    <row r="29" spans="1:29" ht="24">
      <c r="A29" s="325"/>
      <c r="B29" s="344" t="s">
        <v>597</v>
      </c>
      <c r="C29" s="458" t="s">
        <v>525</v>
      </c>
      <c r="D29" s="346">
        <f>ВводДанных!V72+ВводДанных!V74+ВводДанных!V83+ВводДанных!V85+ВводДанных!V86</f>
        <v>143983</v>
      </c>
      <c r="E29" s="346">
        <f>ВводДанных!X72+ВводДанных!X74+ВводДанных!X83+ВводДанных!X85+ВводДанных!X86</f>
        <v>71970</v>
      </c>
      <c r="F29" s="347" t="s">
        <v>369</v>
      </c>
      <c r="G29" s="351"/>
      <c r="H29" s="325"/>
      <c r="I29" s="325"/>
      <c r="J29" s="325"/>
      <c r="K29" s="325"/>
      <c r="L29" s="325"/>
      <c r="M29" s="325"/>
      <c r="N29" s="325"/>
      <c r="O29" s="325"/>
      <c r="P29" s="325"/>
      <c r="Q29" s="325"/>
      <c r="R29" s="325"/>
      <c r="S29" s="325"/>
      <c r="T29" s="325"/>
      <c r="U29" s="325"/>
      <c r="V29" s="325"/>
      <c r="W29" s="325"/>
      <c r="X29" s="325"/>
      <c r="Y29" s="325"/>
      <c r="Z29" s="325"/>
      <c r="AA29" s="325"/>
      <c r="AB29" s="325"/>
      <c r="AC29" s="325"/>
    </row>
    <row r="30" spans="1:29" ht="12">
      <c r="A30" s="325"/>
      <c r="B30" s="344" t="s">
        <v>134</v>
      </c>
      <c r="C30" s="458" t="s">
        <v>526</v>
      </c>
      <c r="D30" s="346">
        <f>ВводДанных!V74+ВводДанных!V83</f>
        <v>143983</v>
      </c>
      <c r="E30" s="346">
        <f>ВводДанных!X74+ВводДанных!X83</f>
        <v>71970</v>
      </c>
      <c r="F30" s="347" t="s">
        <v>369</v>
      </c>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row>
    <row r="31" spans="1:29" ht="12">
      <c r="A31" s="325"/>
      <c r="B31" s="344" t="s">
        <v>135</v>
      </c>
      <c r="C31" s="345" t="s">
        <v>527</v>
      </c>
      <c r="D31" s="346">
        <f>ВводДанных!V72+ВводДанных!V85+ВводДанных!V86</f>
        <v>0</v>
      </c>
      <c r="E31" s="346">
        <f>ВводДанных!X72+ВводДанных!X85+ВводДанных!X86</f>
        <v>0</v>
      </c>
      <c r="F31" s="347" t="s">
        <v>369</v>
      </c>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row>
    <row r="32" spans="1:29" ht="12">
      <c r="A32" s="325"/>
      <c r="B32" s="344" t="s">
        <v>599</v>
      </c>
      <c r="C32" s="345" t="s">
        <v>528</v>
      </c>
      <c r="D32" s="346">
        <f>ВводДанных!V70</f>
        <v>789</v>
      </c>
      <c r="E32" s="346">
        <f>ВводДанных!X70</f>
        <v>167</v>
      </c>
      <c r="F32" s="347" t="s">
        <v>369</v>
      </c>
      <c r="G32" s="351"/>
      <c r="H32" s="325"/>
      <c r="I32" s="325"/>
      <c r="J32" s="325"/>
      <c r="K32" s="325"/>
      <c r="L32" s="325"/>
      <c r="M32" s="325"/>
      <c r="N32" s="325"/>
      <c r="O32" s="325"/>
      <c r="P32" s="325"/>
      <c r="Q32" s="325"/>
      <c r="R32" s="325"/>
      <c r="S32" s="325"/>
      <c r="T32" s="325"/>
      <c r="U32" s="325"/>
      <c r="V32" s="325"/>
      <c r="W32" s="325"/>
      <c r="X32" s="325"/>
      <c r="Y32" s="325"/>
      <c r="Z32" s="325"/>
      <c r="AA32" s="325"/>
      <c r="AB32" s="325"/>
      <c r="AC32" s="325"/>
    </row>
    <row r="33" spans="1:29" ht="12">
      <c r="A33" s="325"/>
      <c r="B33" s="344" t="s">
        <v>136</v>
      </c>
      <c r="C33" s="345" t="s">
        <v>529</v>
      </c>
      <c r="D33" s="346">
        <f>ВводДанных!V65+ВводДанных!V84</f>
        <v>23105</v>
      </c>
      <c r="E33" s="346">
        <f>ВводДанных!X65+ВводДанных!X84</f>
        <v>26090</v>
      </c>
      <c r="F33" s="347" t="s">
        <v>369</v>
      </c>
      <c r="G33" s="351"/>
      <c r="H33" s="325"/>
      <c r="I33" s="325"/>
      <c r="J33" s="325"/>
      <c r="K33" s="325"/>
      <c r="L33" s="325"/>
      <c r="M33" s="325"/>
      <c r="N33" s="325"/>
      <c r="O33" s="325"/>
      <c r="P33" s="325"/>
      <c r="Q33" s="325"/>
      <c r="R33" s="325"/>
      <c r="S33" s="325"/>
      <c r="T33" s="325"/>
      <c r="U33" s="325"/>
      <c r="V33" s="325"/>
      <c r="W33" s="325"/>
      <c r="X33" s="325"/>
      <c r="Y33" s="325"/>
      <c r="Z33" s="325"/>
      <c r="AA33" s="325"/>
      <c r="AB33" s="325"/>
      <c r="AC33" s="325"/>
    </row>
    <row r="34" spans="1:29" ht="12">
      <c r="A34" s="325"/>
      <c r="B34" s="344" t="s">
        <v>600</v>
      </c>
      <c r="C34" s="345" t="s">
        <v>530</v>
      </c>
      <c r="D34" s="455">
        <f>(ВводДанных!V59+ВводДанных!V63)/(ВводДанных!V65+ВводДанных!V84)</f>
        <v>0</v>
      </c>
      <c r="E34" s="455">
        <f>(ВводДанных!X59+ВводДанных!X63)/(ВводДанных!X65+ВводДанных!X84)</f>
        <v>0.11441165197393638</v>
      </c>
      <c r="F34" s="347"/>
      <c r="G34" s="351"/>
      <c r="H34" s="325"/>
      <c r="I34" s="325"/>
      <c r="J34" s="325"/>
      <c r="K34" s="325"/>
      <c r="L34" s="325"/>
      <c r="M34" s="325"/>
      <c r="N34" s="325"/>
      <c r="O34" s="325"/>
      <c r="P34" s="325"/>
      <c r="Q34" s="325"/>
      <c r="R34" s="325"/>
      <c r="S34" s="325"/>
      <c r="T34" s="325"/>
      <c r="U34" s="325"/>
      <c r="V34" s="325"/>
      <c r="W34" s="325"/>
      <c r="X34" s="325"/>
      <c r="Y34" s="325"/>
      <c r="Z34" s="325"/>
      <c r="AA34" s="325"/>
      <c r="AB34" s="325"/>
      <c r="AC34" s="325"/>
    </row>
    <row r="35" spans="1:29" ht="12">
      <c r="A35" s="325"/>
      <c r="B35" s="344" t="s">
        <v>517</v>
      </c>
      <c r="C35" s="345" t="s">
        <v>531</v>
      </c>
      <c r="D35" s="348"/>
      <c r="E35" s="348"/>
      <c r="F35" s="347"/>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row>
    <row r="36" spans="1:29" ht="12">
      <c r="A36" s="325"/>
      <c r="B36" s="344" t="s">
        <v>518</v>
      </c>
      <c r="C36" s="345" t="s">
        <v>532</v>
      </c>
      <c r="D36" s="348">
        <f>ВводДанных!V70/(ВводДанных!V70+ВводДанных!V72+ВводДанных!V74+ВводДанных!V83+ВводДанных!V85+ВводДанных!V86)</f>
        <v>0.005449948885143536</v>
      </c>
      <c r="E36" s="348">
        <f>ВводДанных!X70/(ВводДанных!X70+ВводДанных!X72+ВводДанных!X74+ВводДанных!X83+ВводДанных!X85+ВводДанных!X86)</f>
        <v>0.00231503943884553</v>
      </c>
      <c r="F36" s="347"/>
      <c r="G36" s="351"/>
      <c r="H36" s="325"/>
      <c r="I36" s="325"/>
      <c r="J36" s="325"/>
      <c r="K36" s="325"/>
      <c r="L36" s="325"/>
      <c r="M36" s="325"/>
      <c r="N36" s="325"/>
      <c r="O36" s="325"/>
      <c r="P36" s="325"/>
      <c r="Q36" s="325"/>
      <c r="R36" s="325"/>
      <c r="S36" s="325"/>
      <c r="T36" s="325"/>
      <c r="U36" s="325"/>
      <c r="V36" s="325"/>
      <c r="W36" s="325"/>
      <c r="X36" s="325"/>
      <c r="Y36" s="325"/>
      <c r="Z36" s="325"/>
      <c r="AA36" s="325"/>
      <c r="AB36" s="325"/>
      <c r="AC36" s="325"/>
    </row>
    <row r="37" spans="1:29" ht="12">
      <c r="A37" s="325"/>
      <c r="B37" s="344" t="s">
        <v>519</v>
      </c>
      <c r="C37" s="345" t="s">
        <v>533</v>
      </c>
      <c r="D37" s="348">
        <f>(ВводДанных!V72+ВводДанных!V74+ВводДанных!V83+ВводДанных!V85+ВводДанных!V86)/(ВводДанных!V70+ВводДанных!V72+ВводДанных!V74+ВводДанных!V83+ВводДанных!V85+ВводДанных!V86)</f>
        <v>0.9945500511148565</v>
      </c>
      <c r="E37" s="348">
        <f>(ВводДанных!X72+ВводДанных!X74+ВводДанных!X83+ВводДанных!X85+ВводДанных!X86)/(ВводДанных!X70+ВводДанных!X72+ВводДанных!X74+ВводДанных!X83+ВводДанных!X85+ВводДанных!X86)</f>
        <v>0.9976849605611545</v>
      </c>
      <c r="F37" s="347"/>
      <c r="G37" s="351"/>
      <c r="H37" s="325"/>
      <c r="I37" s="325"/>
      <c r="J37" s="325"/>
      <c r="K37" s="325"/>
      <c r="L37" s="325"/>
      <c r="M37" s="325"/>
      <c r="N37" s="325"/>
      <c r="O37" s="325"/>
      <c r="P37" s="325"/>
      <c r="Q37" s="325"/>
      <c r="R37" s="325"/>
      <c r="S37" s="325"/>
      <c r="T37" s="325"/>
      <c r="U37" s="325"/>
      <c r="V37" s="325"/>
      <c r="W37" s="325"/>
      <c r="X37" s="325"/>
      <c r="Y37" s="325"/>
      <c r="Z37" s="325"/>
      <c r="AA37" s="325"/>
      <c r="AB37" s="325"/>
      <c r="AC37" s="325"/>
    </row>
    <row r="38" spans="1:29" ht="12">
      <c r="A38" s="325"/>
      <c r="B38" s="344" t="s">
        <v>520</v>
      </c>
      <c r="C38" s="345" t="s">
        <v>534</v>
      </c>
      <c r="D38" s="348">
        <f>(ВводДанных!V74+ВводДанных!V83)/(ВводДанных!V70+ВводДанных!V72+ВводДанных!V74+ВводДанных!V83+ВводДанных!V85+ВводДанных!V86)</f>
        <v>0.9945500511148565</v>
      </c>
      <c r="E38" s="348">
        <f>(ВводДанных!X74+ВводДанных!X83)/(ВводДанных!X70+ВводДанных!X72+ВводДанных!X74+ВводДанных!X83+ВводДанных!X85+ВводДанных!X86)</f>
        <v>0.9976849605611545</v>
      </c>
      <c r="F38" s="347"/>
      <c r="G38" s="351"/>
      <c r="H38" s="325"/>
      <c r="I38" s="325"/>
      <c r="J38" s="325"/>
      <c r="K38" s="325"/>
      <c r="L38" s="325"/>
      <c r="M38" s="325"/>
      <c r="N38" s="325"/>
      <c r="O38" s="325"/>
      <c r="P38" s="325"/>
      <c r="Q38" s="325"/>
      <c r="R38" s="325"/>
      <c r="S38" s="325"/>
      <c r="T38" s="325"/>
      <c r="U38" s="325"/>
      <c r="V38" s="325"/>
      <c r="W38" s="325"/>
      <c r="X38" s="325"/>
      <c r="Y38" s="325"/>
      <c r="Z38" s="325"/>
      <c r="AA38" s="325"/>
      <c r="AB38" s="325"/>
      <c r="AC38" s="325"/>
    </row>
    <row r="39" spans="1:29" ht="14.25">
      <c r="A39" s="325"/>
      <c r="B39" s="524" t="s">
        <v>563</v>
      </c>
      <c r="C39" s="525"/>
      <c r="D39" s="525"/>
      <c r="E39" s="525"/>
      <c r="F39" s="526"/>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row>
    <row r="40" spans="1:29" ht="12">
      <c r="A40" s="325"/>
      <c r="B40" s="338" t="s">
        <v>129</v>
      </c>
      <c r="C40" s="339" t="s">
        <v>131</v>
      </c>
      <c r="D40" s="339" t="s">
        <v>113</v>
      </c>
      <c r="E40" s="339" t="s">
        <v>115</v>
      </c>
      <c r="F40" s="340" t="s">
        <v>358</v>
      </c>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row>
    <row r="41" spans="1:29" ht="12">
      <c r="A41" s="325"/>
      <c r="B41" s="341" t="s">
        <v>130</v>
      </c>
      <c r="C41" s="342" t="s">
        <v>132</v>
      </c>
      <c r="D41" s="342" t="s">
        <v>114</v>
      </c>
      <c r="E41" s="342" t="s">
        <v>735</v>
      </c>
      <c r="F41" s="343" t="s">
        <v>355</v>
      </c>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row>
    <row r="42" spans="1:29" ht="12">
      <c r="A42" s="325"/>
      <c r="B42" s="344" t="s">
        <v>601</v>
      </c>
      <c r="C42" s="458" t="s">
        <v>561</v>
      </c>
      <c r="D42" s="346">
        <f>ВводДанных!V51-ВводДанных!V45</f>
        <v>167877</v>
      </c>
      <c r="E42" s="346">
        <f>ВводДанных!X51-ВводДанных!X45</f>
        <v>98227</v>
      </c>
      <c r="F42" s="347" t="s">
        <v>369</v>
      </c>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row>
    <row r="43" spans="1:29" ht="12">
      <c r="A43" s="325"/>
      <c r="B43" s="344" t="s">
        <v>602</v>
      </c>
      <c r="C43" s="458" t="s">
        <v>546</v>
      </c>
      <c r="D43" s="346">
        <f>ВводДанных!V70+ВводДанных!V72+ВводДанных!V74+ВводДанных!V83+ВводДанных!V85+ВводДанных!V86</f>
        <v>144772</v>
      </c>
      <c r="E43" s="346">
        <f>ВводДанных!X70+ВводДанных!X72+ВводДанных!X74+ВводДанных!X83+ВводДанных!X85+ВводДанных!X86</f>
        <v>72137</v>
      </c>
      <c r="F43" s="347" t="s">
        <v>369</v>
      </c>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row>
    <row r="44" spans="1:29" ht="12">
      <c r="A44" s="325"/>
      <c r="B44" s="344" t="s">
        <v>604</v>
      </c>
      <c r="C44" s="458" t="s">
        <v>547</v>
      </c>
      <c r="D44" s="346">
        <f>ОценКоэф!D42-ОценКоэф!D43</f>
        <v>23105</v>
      </c>
      <c r="E44" s="346">
        <f>E42-E43</f>
        <v>26090</v>
      </c>
      <c r="F44" s="347" t="s">
        <v>369</v>
      </c>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row>
    <row r="45" spans="1:29" ht="12">
      <c r="A45" s="325"/>
      <c r="B45" s="344" t="s">
        <v>603</v>
      </c>
      <c r="C45" s="458" t="s">
        <v>548</v>
      </c>
      <c r="D45" s="346">
        <f>ВводДанных!V65+ВводДанных!V70+ВводДанных!V84-ВводДанных!V30</f>
        <v>21770</v>
      </c>
      <c r="E45" s="346">
        <f>ВводДанных!X65+ВводДанных!X70+ВводДанных!X84-ВводДанных!X30</f>
        <v>25116</v>
      </c>
      <c r="F45" s="347" t="s">
        <v>369</v>
      </c>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row>
    <row r="46" spans="1:29" ht="24">
      <c r="A46" s="325"/>
      <c r="B46" s="344" t="s">
        <v>605</v>
      </c>
      <c r="C46" s="458" t="s">
        <v>551</v>
      </c>
      <c r="D46" s="346">
        <f>ВводДанных!V50-ВводДанных!V45-(ВводДанных!V72+ВводДанных!V74+ВводДанных!V83+ВводДанных!V85+ВводДанных!V86)</f>
        <v>21770</v>
      </c>
      <c r="E46" s="346">
        <f>ВводДанных!X50-ВводДанных!X45-(ВводДанных!X72+ВводДанных!X74+ВводДанных!X83+ВводДанных!X85+ВводДанных!X86)</f>
        <v>25116</v>
      </c>
      <c r="F46" s="347" t="s">
        <v>369</v>
      </c>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row>
    <row r="47" spans="1:29" ht="12">
      <c r="A47" s="325"/>
      <c r="B47" s="344" t="s">
        <v>606</v>
      </c>
      <c r="C47" s="458" t="s">
        <v>549</v>
      </c>
      <c r="D47" s="346">
        <f>(ВводДанных!V32+ВводДанных!V41+ВводДанных!V42+ВводДанных!V43)-ВводДанных!V74</f>
        <v>5719</v>
      </c>
      <c r="E47" s="346">
        <f>(ВводДанных!X32+ВводДанных!X41+ВводДанных!X42+ВводДанных!X43)-ВводДанных!X74</f>
        <v>23502</v>
      </c>
      <c r="F47" s="347" t="s">
        <v>369</v>
      </c>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row>
    <row r="48" spans="1:29" ht="24">
      <c r="A48" s="325"/>
      <c r="B48" s="344" t="s">
        <v>608</v>
      </c>
      <c r="C48" s="458" t="s">
        <v>550</v>
      </c>
      <c r="D48" s="348">
        <f>(ВводДанных!V65+ВводДанных!V70+ВводДанных!V84-ВводДанных!V30)/ВводДанных!V50</f>
        <v>0.13134000591241185</v>
      </c>
      <c r="E48" s="348">
        <f>(ВводДанных!X65+ВводДанных!X70+ВводДанных!X84-ВводДанных!X30)/ВводДанных!X50</f>
        <v>0.258698473518324</v>
      </c>
      <c r="F48" s="347"/>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row>
    <row r="49" spans="1:29" ht="12">
      <c r="A49" s="325"/>
      <c r="B49" s="344" t="s">
        <v>609</v>
      </c>
      <c r="C49" s="458" t="s">
        <v>552</v>
      </c>
      <c r="D49" s="348">
        <f>(ВводДанных!V65+ВводДанных!V70+ВводДанных!V84-ВводДанных!V30)/ВводДанных!V32</f>
        <v>3.615678458727786</v>
      </c>
      <c r="E49" s="348">
        <f>(ВводДанных!X65+ВводДанных!X70+ВводДанных!X84-ВводДанных!X30)/ВводДанных!X32</f>
        <v>5.6100067009157915</v>
      </c>
      <c r="F49" s="347"/>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row>
    <row r="50" spans="1:29" ht="12">
      <c r="A50" s="325"/>
      <c r="B50" s="344" t="s">
        <v>535</v>
      </c>
      <c r="C50" s="458" t="s">
        <v>553</v>
      </c>
      <c r="D50" s="348">
        <f>ВводДанных!V30/(ВводДанных!V65+ВводДанных!V70+ВводДанных!V84)</f>
        <v>0.08889260902318574</v>
      </c>
      <c r="E50" s="348">
        <f>ВводДанных!X30/(ВводДанных!X65+ВводДанных!X70+ВводДанных!X84)</f>
        <v>0.04345507864569448</v>
      </c>
      <c r="F50" s="347"/>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row>
    <row r="51" spans="1:29" ht="12">
      <c r="A51" s="325"/>
      <c r="B51" s="344" t="s">
        <v>536</v>
      </c>
      <c r="C51" s="458" t="s">
        <v>554</v>
      </c>
      <c r="D51" s="348">
        <f>(ВводДанных!V30-ВводДанных!V70)/(ВводДанных!V65+ВводДанных!V84)</f>
        <v>0.05777970136334127</v>
      </c>
      <c r="E51" s="348">
        <f>(ВводДанных!X30-ВводДанных!X70)/(ВводДанных!X65+ВводДанных!X84)</f>
        <v>0.037332311230356456</v>
      </c>
      <c r="F51" s="347"/>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row>
    <row r="52" spans="1:29" ht="12">
      <c r="A52" s="325"/>
      <c r="B52" s="344" t="s">
        <v>537</v>
      </c>
      <c r="C52" s="458" t="s">
        <v>555</v>
      </c>
      <c r="D52" s="348">
        <f>(ВводДанных!V65+ВводДанных!V84)/ВводДанных!V88</f>
        <v>0.13763052711211185</v>
      </c>
      <c r="E52" s="348">
        <f>(ВводДанных!X65+ВводДанных!X84)/ВводДанных!X88</f>
        <v>0.26560925203864516</v>
      </c>
      <c r="F52" s="347"/>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row>
    <row r="53" spans="1:29" ht="24">
      <c r="A53" s="325"/>
      <c r="B53" s="344" t="s">
        <v>538</v>
      </c>
      <c r="C53" s="458" t="s">
        <v>556</v>
      </c>
      <c r="D53" s="348">
        <f>(ВводДанных!V65+ВводДанных!V70+ВводДанных!V84)/ВводДанных!V88</f>
        <v>0.142330396659459</v>
      </c>
      <c r="E53" s="348">
        <f>(ВводДанных!X65+ВводДанных!X70+ВводДанных!X84)/ВводДанных!X88</f>
        <v>0.267309395583699</v>
      </c>
      <c r="F53" s="347"/>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row>
    <row r="54" spans="1:29" ht="12">
      <c r="A54" s="325"/>
      <c r="B54" s="344" t="s">
        <v>539</v>
      </c>
      <c r="C54" s="458" t="s">
        <v>607</v>
      </c>
      <c r="D54" s="348">
        <f>ВводДанных!V70/(ВводДанных!V65+ВводДанных!V70+ВводДанных!V84)</f>
        <v>0.033020842052398094</v>
      </c>
      <c r="E54" s="348">
        <f>ВводДанных!X70/(ВводДанных!X65+ВводДанных!X70+ВводДанных!X84)</f>
        <v>0.006360208706249762</v>
      </c>
      <c r="F54" s="347"/>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row>
    <row r="55" spans="1:29" ht="12">
      <c r="A55" s="325"/>
      <c r="B55" s="344" t="s">
        <v>540</v>
      </c>
      <c r="C55" s="458" t="s">
        <v>332</v>
      </c>
      <c r="D55" s="348">
        <f>(ВводДанных!V65+ВводДанных!V70+ВводДанных!V84-ВводДанных!V30)/(ВводДанных!V65+ВводДанных!V84)</f>
        <v>0.9422202986366587</v>
      </c>
      <c r="E55" s="348">
        <f>(ВводДанных!X65+ВводДанных!X70+ВводДанных!X84-ВводДанных!X30)/(ВводДанных!X65+ВводДанных!X84)</f>
        <v>0.9626676887696436</v>
      </c>
      <c r="F55" s="347"/>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row>
    <row r="56" spans="1:29" ht="12">
      <c r="A56" s="325"/>
      <c r="B56" s="344" t="s">
        <v>541</v>
      </c>
      <c r="C56" s="458" t="s">
        <v>557</v>
      </c>
      <c r="D56" s="348">
        <f>(ВводДанных!V65+ВводДанных!V70+ВводДанных!V84-ВводДанных!V30)/(ВводДанных!V65+ВводДанных!V70+ВводДанных!V84-ВводДанных!V30+ВводДанных!V72+ВводДанных!V75)</f>
        <v>0.7409550389707634</v>
      </c>
      <c r="E56" s="348">
        <f>(ВводДанных!X65+ВводДанных!X70+ВводДанных!X84-ВводДанных!X30)/(ВводДанных!X65+ВводДанных!X70+ВводДанных!X84-ВводДанных!X30+ВводДанных!X72+ВводДанных!X75)</f>
        <v>0.5025411180919604</v>
      </c>
      <c r="F56" s="347"/>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row>
    <row r="57" spans="1:29" ht="24">
      <c r="A57" s="325"/>
      <c r="B57" s="344" t="s">
        <v>542</v>
      </c>
      <c r="C57" s="458" t="s">
        <v>562</v>
      </c>
      <c r="D57" s="348">
        <f>(ВводДанных!V70+ВводДанных!V87-ВводДанных!V84)/(ВводДанных!V65+ВводДанных!V84)</f>
        <v>6.265829906946548</v>
      </c>
      <c r="E57" s="348">
        <f>(ВводДанных!X70+ВводДанных!X87-ВводДанных!X84)/(ВводДанных!X65+ВводДанных!X84)</f>
        <v>2.764929091605979</v>
      </c>
      <c r="F57" s="347"/>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row>
    <row r="58" spans="1:29" ht="12">
      <c r="A58" s="325"/>
      <c r="B58" s="344" t="s">
        <v>543</v>
      </c>
      <c r="C58" s="458" t="s">
        <v>558</v>
      </c>
      <c r="D58" s="348">
        <f>ВводДанных!V88/(ВводДанных!V65+ВводДанных!V84)</f>
        <v>7.265829906946548</v>
      </c>
      <c r="E58" s="348">
        <f>ВводДанных!X88/(ВводДанных!X65+ВводДанных!X84)</f>
        <v>3.764929091605979</v>
      </c>
      <c r="F58" s="347"/>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row>
    <row r="59" spans="1:29" ht="12">
      <c r="A59" s="325"/>
      <c r="B59" s="344" t="s">
        <v>544</v>
      </c>
      <c r="C59" s="458" t="s">
        <v>559</v>
      </c>
      <c r="D59" s="348">
        <f>(ВводДанных!R161+ВводДанных!X63-ВводДанных!V63+ВводДанных!X59-ВводДанных!V59)/(ВводДанных!V70+ВводДанных!V87-ВводДанных!V84)</f>
        <v>0.03613958500262482</v>
      </c>
      <c r="E59" s="348">
        <f>(ВводДанных!V161+ВводДанных!X63-ВводДанных!V63+ВводДанных!X59-ВводДанных!V59)/(ВводДанных!X70+ВводДанных!X87-ВводДанных!X84)</f>
        <v>0.07729736473654297</v>
      </c>
      <c r="F59" s="347"/>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row>
    <row r="60" spans="1:29" ht="12">
      <c r="A60" s="325"/>
      <c r="B60" s="344" t="s">
        <v>545</v>
      </c>
      <c r="C60" s="458" t="s">
        <v>560</v>
      </c>
      <c r="D60" s="348">
        <f>(ВводДанных!R161+ВводДанных!X63-ВводДанных!V63+ВводДанных!X59-ВводДанных!V59)/(ВводДанных!V65+ВводДанных!V84)</f>
        <v>0.22644449253408352</v>
      </c>
      <c r="E60" s="348">
        <f>(ВводДанных!V161+ВводДанных!X63-ВводДанных!V63+ВводДанных!X59-ВводДанных!V59)/(ВводДанных!X65+ВводДанных!X84)</f>
        <v>0.21372173246454582</v>
      </c>
      <c r="F60" s="347"/>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row>
    <row r="61" spans="1:29" ht="14.25">
      <c r="A61" s="325"/>
      <c r="B61" s="524" t="s">
        <v>564</v>
      </c>
      <c r="C61" s="525"/>
      <c r="D61" s="525"/>
      <c r="E61" s="525"/>
      <c r="F61" s="526"/>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row>
    <row r="62" spans="1:29" ht="12">
      <c r="A62" s="325"/>
      <c r="B62" s="338" t="s">
        <v>129</v>
      </c>
      <c r="C62" s="339" t="s">
        <v>131</v>
      </c>
      <c r="D62" s="339" t="s">
        <v>113</v>
      </c>
      <c r="E62" s="339" t="s">
        <v>115</v>
      </c>
      <c r="F62" s="340" t="s">
        <v>358</v>
      </c>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row>
    <row r="63" spans="1:29" ht="12">
      <c r="A63" s="325"/>
      <c r="B63" s="341" t="s">
        <v>130</v>
      </c>
      <c r="C63" s="342" t="s">
        <v>132</v>
      </c>
      <c r="D63" s="342" t="s">
        <v>114</v>
      </c>
      <c r="E63" s="342" t="s">
        <v>735</v>
      </c>
      <c r="F63" s="343" t="s">
        <v>355</v>
      </c>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row>
    <row r="64" spans="1:29" ht="12">
      <c r="A64" s="325"/>
      <c r="B64" s="344" t="s">
        <v>619</v>
      </c>
      <c r="C64" s="458" t="s">
        <v>595</v>
      </c>
      <c r="D64" s="348">
        <f>(ВводДанных!V50-ВводДанных!V41-ВводДанных!V42)/(ВводДанных!V72+ВводДанных!V74+ВводДанных!V83+ВводДанных!V85+ВводДанных!V86)</f>
        <v>1.1511150621948425</v>
      </c>
      <c r="E64" s="348">
        <f>(ВводДанных!X50-ВводДанных!X41-ВводДанных!X42)/(ВводДанных!X72+ВводДанных!X74+ВводДанных!X83+ВводДанных!X85+ВводДанных!X86)</f>
        <v>1.348937057107128</v>
      </c>
      <c r="F64" s="347" t="s">
        <v>565</v>
      </c>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row>
    <row r="65" spans="1:29" ht="12">
      <c r="A65" s="325"/>
      <c r="B65" s="344" t="s">
        <v>620</v>
      </c>
      <c r="C65" s="458" t="s">
        <v>566</v>
      </c>
      <c r="D65" s="348">
        <f>(ВводДанных!V50-ВводДанных!V32-ВводДанных!V41-ВводДанных!V42)/(ВводДанных!V72+ВводДанных!V74+ВводДанных!V83+ВводДанных!V85+ВводДанных!V86)</f>
        <v>1.1092976254141114</v>
      </c>
      <c r="E65" s="348">
        <f>(ВводДанных!X50-ВводДанных!X32-ВводДанных!X41-ВводДанных!X42)/(ВводДанных!X72+ВводДанных!X74+ВводДанных!X83+ВводДанных!X85+ВводДанных!X86)</f>
        <v>1.2867305821870223</v>
      </c>
      <c r="F65" s="347" t="s">
        <v>567</v>
      </c>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row>
    <row r="66" spans="1:29" ht="12">
      <c r="A66" s="325"/>
      <c r="B66" s="344" t="s">
        <v>621</v>
      </c>
      <c r="C66" s="458" t="s">
        <v>598</v>
      </c>
      <c r="D66" s="348">
        <f>(ВводДанных!V46+ВводДанных!V48)/(ВводДанных!V72+ВводДанных!V74+ВводДанных!V83+ВводДанных!V85+ВводДанных!V86)</f>
        <v>0.10361639915823395</v>
      </c>
      <c r="E66" s="348">
        <f>(ВводДанных!X46+ВводДанных!X48)/(ВводДанных!X72+ВводДанных!X74+ВводДанных!X83+ВводДанных!X85+ВводДанных!X86)</f>
        <v>0.010518271502014728</v>
      </c>
      <c r="F66" s="347" t="s">
        <v>90</v>
      </c>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row>
    <row r="67" spans="1:29" ht="12">
      <c r="A67" s="325"/>
      <c r="B67" s="344" t="s">
        <v>622</v>
      </c>
      <c r="C67" s="458" t="s">
        <v>568</v>
      </c>
      <c r="D67" s="348">
        <f>ВводДанных!V48/D26</f>
        <v>0.10305169507915896</v>
      </c>
      <c r="E67" s="348">
        <f>ВводДанных!X48/E26</f>
        <v>0.010493921288659079</v>
      </c>
      <c r="F67" s="347" t="s">
        <v>298</v>
      </c>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row>
    <row r="68" spans="1:29" ht="12">
      <c r="A68" s="325"/>
      <c r="B68" s="344" t="s">
        <v>623</v>
      </c>
      <c r="C68" s="458" t="s">
        <v>569</v>
      </c>
      <c r="D68" s="349" t="s">
        <v>186</v>
      </c>
      <c r="E68" s="459">
        <f>(ВводДанных!V48+100+190816)/(100+204978)</f>
        <v>1.0036912784403982</v>
      </c>
      <c r="F68" s="347" t="s">
        <v>299</v>
      </c>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row>
    <row r="69" spans="1:29" ht="12">
      <c r="A69" s="325"/>
      <c r="B69" s="344" t="s">
        <v>624</v>
      </c>
      <c r="C69" s="458" t="s">
        <v>570</v>
      </c>
      <c r="D69" s="349" t="s">
        <v>186</v>
      </c>
      <c r="E69" s="348">
        <f>(E64+(3/6)*(ОценКоэф!E64-ОценКоэф!D64))/2</f>
        <v>0.7239240272816354</v>
      </c>
      <c r="F69" s="347" t="s">
        <v>567</v>
      </c>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row>
    <row r="70" spans="1:29" ht="12">
      <c r="A70" s="325"/>
      <c r="B70" s="344" t="s">
        <v>625</v>
      </c>
      <c r="C70" s="458" t="s">
        <v>571</v>
      </c>
      <c r="D70" s="349" t="s">
        <v>186</v>
      </c>
      <c r="E70" s="348">
        <f>(E64+(6/6)*(ОценКоэф!E64-ОценКоэф!D64))/2</f>
        <v>0.7733795260097067</v>
      </c>
      <c r="F70" s="347" t="s">
        <v>567</v>
      </c>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row>
    <row r="71" spans="1:29" ht="12">
      <c r="A71" s="325"/>
      <c r="B71" s="344" t="s">
        <v>626</v>
      </c>
      <c r="C71" s="458" t="s">
        <v>572</v>
      </c>
      <c r="D71" s="348">
        <f>(ВводДанных!V51-ВводДанных!V45)/(ВводДанных!V70+ВводДанных!V72+ВводДанных!V74+ВводДанных!V83+ВводДанных!V85+ВводДанных!V86)</f>
        <v>1.1595957781891526</v>
      </c>
      <c r="E71" s="348">
        <f>(ВводДанных!X51-ВводДанных!X45)/(ВводДанных!X70+ВводДанных!X72+ВводДанных!X74+ВводДанных!X83+ВводДанных!X85+ВводДанных!X86)</f>
        <v>1.361672927901077</v>
      </c>
      <c r="F71" s="347" t="s">
        <v>565</v>
      </c>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row>
    <row r="72" spans="1:29" ht="12">
      <c r="A72" s="325"/>
      <c r="B72" s="344" t="s">
        <v>627</v>
      </c>
      <c r="C72" s="458" t="s">
        <v>573</v>
      </c>
      <c r="D72" s="349">
        <f>(ВводДанных!X70+ВводДанных!X87)/(ВводДанных!X106/12)</f>
        <v>499.79445727482675</v>
      </c>
      <c r="E72" s="348">
        <f>(ВводДанных!X87+ВводДанных!X70)/(ВводДанных!V109/6)</f>
        <v>31.32079021636877</v>
      </c>
      <c r="F72" s="347"/>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row>
    <row r="73" spans="1:29" ht="12">
      <c r="A73" s="325"/>
      <c r="B73" s="344" t="s">
        <v>628</v>
      </c>
      <c r="C73" s="458" t="s">
        <v>187</v>
      </c>
      <c r="D73" s="348">
        <f>(ВводДанных!V72+ВводДанных!V70)/(ВводДанных!X109/12)</f>
        <v>-1.5473116522307566</v>
      </c>
      <c r="E73" s="348">
        <f>(ВводДанных!X72+ВводДанных!X70)/(ВводДанных!V109/6)</f>
        <v>0.07250886460670092</v>
      </c>
      <c r="F73" s="347"/>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row>
    <row r="74" spans="1:29" ht="12">
      <c r="A74" s="325"/>
      <c r="B74" s="344" t="s">
        <v>629</v>
      </c>
      <c r="C74" s="458" t="s">
        <v>574</v>
      </c>
      <c r="D74" s="348">
        <f>(ВводДанных!V75+ВводДанных!V79)/(ВводДанных!X109/12)</f>
        <v>-212.2582121261644</v>
      </c>
      <c r="E74" s="348">
        <f>(ВводДанных!X75+ВводДанных!X79)/(ВводДанных!V109/6)</f>
        <v>14.563861350314784</v>
      </c>
      <c r="F74" s="347"/>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row>
    <row r="75" spans="1:29" ht="12">
      <c r="A75" s="325"/>
      <c r="B75" s="344" t="s">
        <v>630</v>
      </c>
      <c r="C75" s="458" t="s">
        <v>575</v>
      </c>
      <c r="D75" s="348">
        <f>(ВводДанных!V77+ВводДанных!V78)/(ВводДанных!X109/12)</f>
        <v>-58.66448766138258</v>
      </c>
      <c r="E75" s="348">
        <f>(ВводДанных!X77+ВводДанных!X78)/(ВводДанных!V109/12)</f>
        <v>23.0482668789348</v>
      </c>
      <c r="F75" s="347"/>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row>
    <row r="76" spans="1:29" ht="12">
      <c r="A76" s="325"/>
      <c r="B76" s="344" t="s">
        <v>631</v>
      </c>
      <c r="C76" s="458" t="s">
        <v>576</v>
      </c>
      <c r="D76" s="348">
        <f>(ВводДанных!V76+ВводДанных!V83+ВводДанных!V85+ВводДанных!V86)/(ВводДанных!X109/12)</f>
        <v>-11.443046249387155</v>
      </c>
      <c r="E76" s="348">
        <f>(ВводДанных!X74+ВводДанных!X83+ВводДанных!X85+ВводДанных!X86)/(ВводДанных!V109/6)</f>
        <v>31.248281351762067</v>
      </c>
      <c r="F76" s="347"/>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row>
    <row r="77" spans="1:29" ht="12">
      <c r="A77" s="325"/>
      <c r="B77" s="344" t="s">
        <v>646</v>
      </c>
      <c r="C77" s="458" t="s">
        <v>577</v>
      </c>
      <c r="D77" s="348">
        <f>(ВводДанных!V72+ВводДанных!V74+ВводДанных!V83+ВводДанных!V85+ВводДанных!V86)/(ВводДанных!X109/12)</f>
        <v>-282.3657460369341</v>
      </c>
      <c r="E77" s="348">
        <f>(ВводДанных!X72+ВводДанных!X74+ВводДанных!X83+ВводДанных!X85+ВводДанных!X86)/(ВводДанных!V109/6)</f>
        <v>31.248281351762067</v>
      </c>
      <c r="F77" s="347"/>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row>
    <row r="78" spans="1:29" ht="24">
      <c r="A78" s="325"/>
      <c r="B78" s="344" t="s">
        <v>632</v>
      </c>
      <c r="C78" s="458" t="s">
        <v>578</v>
      </c>
      <c r="D78" s="348" t="e">
        <f>(ВводДанных!X119+ВводДанных!X112)/ВводДанных!X112</f>
        <v>#DIV/0!</v>
      </c>
      <c r="E78" s="348" t="e">
        <f>(ВводДанных!V119+ВводДанных!V112)/ВводДанных!V112</f>
        <v>#DIV/0!</v>
      </c>
      <c r="F78" s="347"/>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row>
    <row r="79" spans="1:29" ht="24">
      <c r="A79" s="325"/>
      <c r="B79" s="344" t="s">
        <v>633</v>
      </c>
      <c r="C79" s="458" t="s">
        <v>579</v>
      </c>
      <c r="D79" s="348">
        <f>ВводДанных!V74/ВводДанных!V43</f>
        <v>1.0021855793525396</v>
      </c>
      <c r="E79" s="348">
        <f>ВводДанных!X74/ВводДанных!X43</f>
        <v>0.790948654826798</v>
      </c>
      <c r="F79" s="347"/>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row>
    <row r="80" spans="1:29" ht="14.25">
      <c r="A80" s="325"/>
      <c r="B80" s="352" t="s">
        <v>188</v>
      </c>
      <c r="C80" s="353"/>
      <c r="D80" s="353"/>
      <c r="E80" s="353"/>
      <c r="F80" s="354"/>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row>
    <row r="81" spans="1:29" ht="12">
      <c r="A81" s="325"/>
      <c r="B81" s="338" t="s">
        <v>129</v>
      </c>
      <c r="C81" s="356" t="s">
        <v>131</v>
      </c>
      <c r="D81" s="357"/>
      <c r="E81" s="339" t="s">
        <v>115</v>
      </c>
      <c r="F81" s="340" t="s">
        <v>358</v>
      </c>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row>
    <row r="82" spans="1:29" ht="12">
      <c r="A82" s="325"/>
      <c r="B82" s="341" t="s">
        <v>130</v>
      </c>
      <c r="C82" s="358" t="s">
        <v>132</v>
      </c>
      <c r="D82" s="359"/>
      <c r="E82" s="342" t="s">
        <v>735</v>
      </c>
      <c r="F82" s="343" t="s">
        <v>355</v>
      </c>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row>
    <row r="83" spans="1:29" ht="14.25" customHeight="1">
      <c r="A83" s="325"/>
      <c r="B83" s="344" t="s">
        <v>634</v>
      </c>
      <c r="C83" s="514" t="s">
        <v>223</v>
      </c>
      <c r="D83" s="515"/>
      <c r="E83" s="361">
        <f>ВводДанных!V96/(0.5*(ВводДанных!V51+ВводДанных!X51))</f>
        <v>0.5954739500345729</v>
      </c>
      <c r="F83" s="347"/>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row>
    <row r="84" spans="1:29" ht="14.25" customHeight="1">
      <c r="A84" s="325"/>
      <c r="B84" s="344" t="s">
        <v>647</v>
      </c>
      <c r="C84" s="514" t="s">
        <v>224</v>
      </c>
      <c r="D84" s="515"/>
      <c r="E84" s="361">
        <f>ВводДанных!V96/(0.5*(ВводДанных!V50+ВводДанных!X50))</f>
        <v>0.6028709590281504</v>
      </c>
      <c r="F84" s="347"/>
      <c r="G84" s="325"/>
      <c r="H84" s="325"/>
      <c r="I84" s="325"/>
      <c r="J84" s="325"/>
      <c r="K84" s="325"/>
      <c r="L84" s="325"/>
      <c r="M84" s="325"/>
      <c r="N84" s="325"/>
      <c r="O84" s="325"/>
      <c r="P84" s="325"/>
      <c r="Q84" s="325"/>
      <c r="R84" s="325"/>
      <c r="S84" s="325"/>
      <c r="T84" s="325"/>
      <c r="U84" s="325"/>
      <c r="V84" s="325"/>
      <c r="W84" s="325"/>
      <c r="X84" s="325"/>
      <c r="Y84" s="325"/>
      <c r="Z84" s="325"/>
      <c r="AA84" s="325"/>
      <c r="AB84" s="325"/>
      <c r="AC84" s="325"/>
    </row>
    <row r="85" spans="1:29" ht="14.25" customHeight="1">
      <c r="A85" s="325"/>
      <c r="B85" s="344" t="s">
        <v>635</v>
      </c>
      <c r="C85" s="514" t="s">
        <v>225</v>
      </c>
      <c r="D85" s="515"/>
      <c r="E85" s="361">
        <f>ВводДанных!V96/(0.5*(ВводДанных!V32+ВводДанных!X32))</f>
        <v>15.094113164412269</v>
      </c>
      <c r="F85" s="347"/>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row>
    <row r="86" spans="1:29" ht="14.25" customHeight="1">
      <c r="A86" s="325"/>
      <c r="B86" s="344" t="s">
        <v>636</v>
      </c>
      <c r="C86" s="514" t="s">
        <v>226</v>
      </c>
      <c r="D86" s="515"/>
      <c r="E86" s="361">
        <f>ВводДанных!V101/(0.5*(ВводДанных!V32+ВводДанных!X32))</f>
        <v>11.310535340064774</v>
      </c>
      <c r="F86" s="347"/>
      <c r="G86" s="351"/>
      <c r="H86" s="325"/>
      <c r="I86" s="325"/>
      <c r="J86" s="325"/>
      <c r="K86" s="325"/>
      <c r="L86" s="325"/>
      <c r="M86" s="325"/>
      <c r="N86" s="325"/>
      <c r="O86" s="325"/>
      <c r="P86" s="325"/>
      <c r="Q86" s="325"/>
      <c r="R86" s="325"/>
      <c r="S86" s="325"/>
      <c r="T86" s="325"/>
      <c r="U86" s="325"/>
      <c r="V86" s="325"/>
      <c r="W86" s="325"/>
      <c r="X86" s="325"/>
      <c r="Y86" s="325"/>
      <c r="Z86" s="325"/>
      <c r="AA86" s="325"/>
      <c r="AB86" s="325"/>
      <c r="AC86" s="325"/>
    </row>
    <row r="87" spans="1:29" ht="14.25" customHeight="1">
      <c r="A87" s="325"/>
      <c r="B87" s="344" t="s">
        <v>637</v>
      </c>
      <c r="C87" s="514" t="s">
        <v>227</v>
      </c>
      <c r="D87" s="515"/>
      <c r="E87" s="361">
        <f>ВводДанных!R169/(0.5*(ВводДанных!V33+ВводДанных!X33))</f>
        <v>5.122312824314307</v>
      </c>
      <c r="F87" s="347"/>
      <c r="G87" s="351"/>
      <c r="H87" s="325"/>
      <c r="I87" s="325"/>
      <c r="J87" s="325"/>
      <c r="K87" s="325"/>
      <c r="L87" s="325"/>
      <c r="M87" s="325"/>
      <c r="N87" s="325"/>
      <c r="O87" s="325"/>
      <c r="P87" s="325"/>
      <c r="Q87" s="325"/>
      <c r="R87" s="325"/>
      <c r="S87" s="325"/>
      <c r="T87" s="325"/>
      <c r="U87" s="325"/>
      <c r="V87" s="325"/>
      <c r="W87" s="325"/>
      <c r="X87" s="325"/>
      <c r="Y87" s="325"/>
      <c r="Z87" s="325"/>
      <c r="AA87" s="325"/>
      <c r="AB87" s="325"/>
      <c r="AC87" s="325"/>
    </row>
    <row r="88" spans="1:29" ht="29.25" customHeight="1">
      <c r="A88" s="325"/>
      <c r="B88" s="344" t="s">
        <v>189</v>
      </c>
      <c r="C88" s="514" t="s">
        <v>228</v>
      </c>
      <c r="D88" s="515"/>
      <c r="E88" s="361">
        <f>ВводДанных!V96/(0.5*(ВводДанных!V43+ВводДанных!X43))</f>
        <v>0.6752634651689032</v>
      </c>
      <c r="F88" s="347"/>
      <c r="G88" s="351"/>
      <c r="H88" s="325"/>
      <c r="I88" s="325"/>
      <c r="J88" s="325"/>
      <c r="K88" s="325"/>
      <c r="L88" s="325"/>
      <c r="M88" s="325"/>
      <c r="N88" s="325"/>
      <c r="O88" s="325"/>
      <c r="P88" s="325"/>
      <c r="Q88" s="325"/>
      <c r="R88" s="325"/>
      <c r="S88" s="325"/>
      <c r="T88" s="325"/>
      <c r="U88" s="325"/>
      <c r="V88" s="325"/>
      <c r="W88" s="325"/>
      <c r="X88" s="325"/>
      <c r="Y88" s="325"/>
      <c r="Z88" s="325"/>
      <c r="AA88" s="325"/>
      <c r="AB88" s="325"/>
      <c r="AC88" s="325"/>
    </row>
    <row r="89" spans="1:29" ht="29.25" customHeight="1">
      <c r="A89" s="325"/>
      <c r="B89" s="344" t="s">
        <v>190</v>
      </c>
      <c r="C89" s="514" t="s">
        <v>229</v>
      </c>
      <c r="D89" s="515"/>
      <c r="E89" s="361">
        <f>ВводДанных!V96/(0.5*(ВводДанных!V42+ВводДанных!V43+ВводДанных!X42+ВводДанных!X43))</f>
        <v>0.6752634651689032</v>
      </c>
      <c r="F89" s="347"/>
      <c r="G89" s="351"/>
      <c r="H89" s="325"/>
      <c r="I89" s="325"/>
      <c r="J89" s="325"/>
      <c r="K89" s="325"/>
      <c r="L89" s="325"/>
      <c r="M89" s="325"/>
      <c r="N89" s="325"/>
      <c r="O89" s="325"/>
      <c r="P89" s="325"/>
      <c r="Q89" s="325"/>
      <c r="R89" s="325"/>
      <c r="S89" s="325"/>
      <c r="T89" s="325"/>
      <c r="U89" s="325"/>
      <c r="V89" s="325"/>
      <c r="W89" s="325"/>
      <c r="X89" s="325"/>
      <c r="Y89" s="325"/>
      <c r="Z89" s="325"/>
      <c r="AA89" s="325"/>
      <c r="AB89" s="325"/>
      <c r="AC89" s="325"/>
    </row>
    <row r="90" spans="1:29" ht="14.25" customHeight="1">
      <c r="A90" s="325"/>
      <c r="B90" s="344" t="s">
        <v>191</v>
      </c>
      <c r="C90" s="514" t="s">
        <v>230</v>
      </c>
      <c r="D90" s="515"/>
      <c r="E90" s="361">
        <f>ВводДанных!V96/(0.5*(ВводДанных!V48+ВводДанных!X48))</f>
        <v>10.108318448583823</v>
      </c>
      <c r="F90" s="347"/>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row>
    <row r="91" spans="1:29" ht="14.25" customHeight="1">
      <c r="A91" s="325"/>
      <c r="B91" s="344" t="s">
        <v>192</v>
      </c>
      <c r="C91" s="514" t="s">
        <v>231</v>
      </c>
      <c r="D91" s="515"/>
      <c r="E91" s="361">
        <f>ВводДанных!V96/(0.5*(ВводДанных!V65+ВводДанных!V84+ВводДанных!X84+ВводДанных!X65))</f>
        <v>3.2210183961784735</v>
      </c>
      <c r="F91" s="347"/>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row>
    <row r="92" spans="1:29" ht="14.25" customHeight="1">
      <c r="A92" s="325"/>
      <c r="B92" s="344" t="s">
        <v>193</v>
      </c>
      <c r="C92" s="514" t="s">
        <v>232</v>
      </c>
      <c r="D92" s="515"/>
      <c r="E92" s="361">
        <f>ВводДанных!V96/(0.5*(ВводДанных!X72+ВводДанных!X74+ВводДанных!X83+ВводДанных!X85+ВводДанных!X86+ВводДанных!V72+ВводДанных!V74+ВводДанных!V83+ВводДанных!V85+ВводДанных!V86))</f>
        <v>0.7337615129217931</v>
      </c>
      <c r="F92" s="347"/>
      <c r="G92" s="325"/>
      <c r="H92" s="325"/>
      <c r="I92" s="325"/>
      <c r="J92" s="325"/>
      <c r="K92" s="325"/>
      <c r="L92" s="325"/>
      <c r="M92" s="325"/>
      <c r="N92" s="325"/>
      <c r="O92" s="325"/>
      <c r="P92" s="325"/>
      <c r="Q92" s="325"/>
      <c r="R92" s="325"/>
      <c r="S92" s="325"/>
      <c r="T92" s="325"/>
      <c r="U92" s="325"/>
      <c r="V92" s="325"/>
      <c r="W92" s="325"/>
      <c r="X92" s="325"/>
      <c r="Y92" s="325"/>
      <c r="Z92" s="325"/>
      <c r="AA92" s="325"/>
      <c r="AB92" s="325"/>
      <c r="AC92" s="325"/>
    </row>
    <row r="93" spans="1:29" ht="14.25" customHeight="1">
      <c r="A93" s="325"/>
      <c r="B93" s="344" t="s">
        <v>194</v>
      </c>
      <c r="C93" s="514" t="s">
        <v>233</v>
      </c>
      <c r="D93" s="515"/>
      <c r="E93" s="361">
        <f>ВводДанных!V96/(0.5*(ВводДанных!V74+ВводДанных!X74))</f>
        <v>0.7337615129217931</v>
      </c>
      <c r="F93" s="347"/>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row>
    <row r="94" spans="1:29" ht="27" customHeight="1">
      <c r="A94" s="325"/>
      <c r="B94" s="344" t="s">
        <v>195</v>
      </c>
      <c r="C94" s="514" t="s">
        <v>234</v>
      </c>
      <c r="D94" s="515"/>
      <c r="E94" s="361">
        <f>ВводДанных!V101/(0.5*(ВводДанных!V74+ВводДанных!X74))</f>
        <v>0.5498326024644251</v>
      </c>
      <c r="F94" s="347"/>
      <c r="G94" s="325"/>
      <c r="H94" s="325"/>
      <c r="I94" s="325"/>
      <c r="J94" s="325"/>
      <c r="K94" s="325"/>
      <c r="L94" s="325"/>
      <c r="M94" s="325"/>
      <c r="N94" s="325"/>
      <c r="O94" s="325"/>
      <c r="P94" s="325"/>
      <c r="Q94" s="325"/>
      <c r="R94" s="325"/>
      <c r="S94" s="325"/>
      <c r="T94" s="325"/>
      <c r="U94" s="325"/>
      <c r="V94" s="325"/>
      <c r="W94" s="325"/>
      <c r="X94" s="325"/>
      <c r="Y94" s="325"/>
      <c r="Z94" s="325"/>
      <c r="AA94" s="325"/>
      <c r="AB94" s="325"/>
      <c r="AC94" s="325"/>
    </row>
    <row r="95" spans="1:29" ht="27" customHeight="1">
      <c r="A95" s="325"/>
      <c r="B95" s="344" t="s">
        <v>196</v>
      </c>
      <c r="C95" s="514" t="s">
        <v>235</v>
      </c>
      <c r="D95" s="515"/>
      <c r="E95" s="361">
        <f>ВводДанных!V96/(0.5*(ВводДанных!V75+ВводДанных!X75))</f>
        <v>4.87968466110307</v>
      </c>
      <c r="F95" s="347"/>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row>
    <row r="96" spans="1:29" ht="27" customHeight="1">
      <c r="A96" s="325"/>
      <c r="B96" s="344" t="s">
        <v>197</v>
      </c>
      <c r="C96" s="514" t="s">
        <v>236</v>
      </c>
      <c r="D96" s="515"/>
      <c r="E96" s="361">
        <f>ВводДанных!V101/(0.5*(ВводДанных!V75+ВводДанных!X75))</f>
        <v>3.65651464293413</v>
      </c>
      <c r="F96" s="347"/>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row>
    <row r="97" spans="1:29" ht="14.25" customHeight="1">
      <c r="A97" s="325"/>
      <c r="B97" s="344" t="s">
        <v>198</v>
      </c>
      <c r="C97" s="514" t="s">
        <v>237</v>
      </c>
      <c r="D97" s="515"/>
      <c r="E97" s="460">
        <f>((0.5*(ВводДанных!V51+ВводДанных!X51))*365/2)/ВводДанных!V96</f>
        <v>306.47856214264976</v>
      </c>
      <c r="F97" s="347"/>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row>
    <row r="98" spans="1:29" ht="14.25" customHeight="1">
      <c r="A98" s="325"/>
      <c r="B98" s="344" t="s">
        <v>199</v>
      </c>
      <c r="C98" s="514" t="s">
        <v>238</v>
      </c>
      <c r="D98" s="515"/>
      <c r="E98" s="460">
        <f>(((0.5*ВводДанных!V50+ВводДанных!X50))*365/2)/ВводДанных!V96</f>
        <v>414.5345296545457</v>
      </c>
      <c r="F98" s="347"/>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row>
    <row r="99" spans="1:29" ht="14.25" customHeight="1">
      <c r="A99" s="325"/>
      <c r="B99" s="344" t="s">
        <v>200</v>
      </c>
      <c r="C99" s="514" t="s">
        <v>239</v>
      </c>
      <c r="D99" s="515"/>
      <c r="E99" s="460">
        <f>((0.5*(ВводДанных!V32+ВводДанных!X32)*365/2))/ВводДанных!V96</f>
        <v>12.090806396647691</v>
      </c>
      <c r="F99" s="347"/>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row>
    <row r="100" spans="1:29" ht="14.25" customHeight="1">
      <c r="A100" s="325"/>
      <c r="B100" s="344" t="s">
        <v>201</v>
      </c>
      <c r="C100" s="514" t="s">
        <v>240</v>
      </c>
      <c r="D100" s="515"/>
      <c r="E100" s="460">
        <f>((0.5*(ВводДанных!V33+ВводДанных!X33)*365/2))/ВводДанных!R169</f>
        <v>35.628437047756876</v>
      </c>
      <c r="F100" s="347"/>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row>
    <row r="101" spans="1:29" ht="25.5" customHeight="1">
      <c r="A101" s="325"/>
      <c r="B101" s="344" t="s">
        <v>202</v>
      </c>
      <c r="C101" s="514" t="s">
        <v>241</v>
      </c>
      <c r="D101" s="515"/>
      <c r="E101" s="460">
        <f>((0.5*(ВводДанных!V43+ВводДанных!X43)*365/2))/ВводДанных!V96</f>
        <v>270.26488091481656</v>
      </c>
      <c r="F101" s="347"/>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row>
    <row r="102" spans="1:29" ht="25.5" customHeight="1">
      <c r="A102" s="325"/>
      <c r="B102" s="344" t="s">
        <v>203</v>
      </c>
      <c r="C102" s="514" t="s">
        <v>242</v>
      </c>
      <c r="D102" s="515"/>
      <c r="E102" s="460">
        <f>((0.5*(ВводДанных!V42+ВводДанных!X42+ВводДанных!V43+ВводДанных!X43)*365/2))/ВводДанных!V96</f>
        <v>270.26488091481656</v>
      </c>
      <c r="F102" s="347"/>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row>
    <row r="103" spans="1:29" ht="14.25" customHeight="1">
      <c r="A103" s="325"/>
      <c r="B103" s="344" t="s">
        <v>204</v>
      </c>
      <c r="C103" s="514" t="s">
        <v>243</v>
      </c>
      <c r="D103" s="515"/>
      <c r="E103" s="460">
        <f>((0.5*(ВводДанных!V48+ВводДанных!X48)*365/2))/ВводДанных!V96</f>
        <v>18.054437137916672</v>
      </c>
      <c r="F103" s="347"/>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row>
    <row r="104" spans="1:29" ht="27" customHeight="1">
      <c r="A104" s="325"/>
      <c r="B104" s="344" t="s">
        <v>205</v>
      </c>
      <c r="C104" s="514" t="s">
        <v>244</v>
      </c>
      <c r="D104" s="515"/>
      <c r="E104" s="460">
        <f>((0.5*(ВводДанных!V74+ВводДанных!X74)*365/2))/ВводДанных!V96</f>
        <v>248.7184143432329</v>
      </c>
      <c r="F104" s="347"/>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row>
    <row r="105" spans="1:29" ht="27" customHeight="1">
      <c r="A105" s="325"/>
      <c r="B105" s="344" t="s">
        <v>206</v>
      </c>
      <c r="C105" s="514" t="s">
        <v>245</v>
      </c>
      <c r="D105" s="515"/>
      <c r="E105" s="460">
        <f>((0.5*(ВводДанных!V74+ВводДанных!X74)*365/2))/ВводДанных!V101</f>
        <v>331.9192044669777</v>
      </c>
      <c r="F105" s="347"/>
      <c r="G105" s="351"/>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row>
    <row r="106" spans="1:29" ht="27" customHeight="1">
      <c r="A106" s="325"/>
      <c r="B106" s="344" t="s">
        <v>207</v>
      </c>
      <c r="C106" s="514" t="s">
        <v>246</v>
      </c>
      <c r="D106" s="515"/>
      <c r="E106" s="460">
        <f>((0.5*(ВводДанных!V75+ВводДанных!X75)*365/2))/ВводДанных!V96</f>
        <v>37.39995771750243</v>
      </c>
      <c r="F106" s="347"/>
      <c r="G106" s="351"/>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row>
    <row r="107" spans="1:29" ht="27.75" customHeight="1">
      <c r="A107" s="325"/>
      <c r="B107" s="344" t="s">
        <v>208</v>
      </c>
      <c r="C107" s="514" t="s">
        <v>247</v>
      </c>
      <c r="D107" s="515"/>
      <c r="E107" s="460">
        <f>((0.5*(ВводДанных!V75+ВводДанных!X75)*365/2))/ВводДанных!V101</f>
        <v>49.9109173137496</v>
      </c>
      <c r="F107" s="347"/>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row>
    <row r="108" spans="1:29" ht="14.25" customHeight="1">
      <c r="A108" s="325"/>
      <c r="B108" s="344" t="s">
        <v>209</v>
      </c>
      <c r="C108" s="514" t="s">
        <v>248</v>
      </c>
      <c r="D108" s="515"/>
      <c r="E108" s="461">
        <f>E99+E102</f>
        <v>282.35568731146424</v>
      </c>
      <c r="F108" s="347"/>
      <c r="G108" s="351"/>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row>
    <row r="109" spans="1:29" ht="14.25" customHeight="1">
      <c r="A109" s="325"/>
      <c r="B109" s="344" t="s">
        <v>210</v>
      </c>
      <c r="C109" s="514" t="s">
        <v>249</v>
      </c>
      <c r="D109" s="515"/>
      <c r="E109" s="360">
        <f>E108-E104</f>
        <v>33.63727296823134</v>
      </c>
      <c r="F109" s="347"/>
      <c r="G109" s="351"/>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row>
    <row r="110" spans="1:29" ht="14.25" customHeight="1">
      <c r="A110" s="325"/>
      <c r="B110" s="344" t="s">
        <v>211</v>
      </c>
      <c r="C110" s="514" t="s">
        <v>250</v>
      </c>
      <c r="D110" s="515"/>
      <c r="E110" s="362">
        <f>ВводДанных!X50/ВводДанных!V96</f>
        <v>1.2253846445114793</v>
      </c>
      <c r="F110" s="347"/>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row>
    <row r="111" spans="1:29" ht="14.25" customHeight="1">
      <c r="A111" s="325"/>
      <c r="B111" s="344" t="s">
        <v>212</v>
      </c>
      <c r="C111" s="514" t="s">
        <v>251</v>
      </c>
      <c r="D111" s="515"/>
      <c r="E111" s="462">
        <f>ВводДанных!X50/(ВводДанных!V109/6)</f>
        <v>42.15326724075548</v>
      </c>
      <c r="F111" s="347"/>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row>
    <row r="112" spans="1:29" ht="14.25" customHeight="1">
      <c r="A112" s="325"/>
      <c r="B112" s="344" t="s">
        <v>213</v>
      </c>
      <c r="C112" s="514" t="s">
        <v>253</v>
      </c>
      <c r="D112" s="515"/>
      <c r="E112" s="361">
        <f>(ВводДанных!X32+ВводДанных!X41-ВводДанных!X37)/ВводДанных!V96</f>
        <v>0.05654495197465575</v>
      </c>
      <c r="F112" s="347"/>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row>
    <row r="113" spans="1:29" ht="14.25" customHeight="1">
      <c r="A113" s="325"/>
      <c r="B113" s="344" t="s">
        <v>214</v>
      </c>
      <c r="C113" s="514" t="s">
        <v>252</v>
      </c>
      <c r="D113" s="515"/>
      <c r="E113" s="361">
        <f>(ВводДанных!X32+ВводДанных!X41-ВводДанных!X37)/(ВводДанных!V109/6)</f>
        <v>1.9451479846588031</v>
      </c>
      <c r="F113" s="347"/>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row>
    <row r="114" spans="1:29" ht="14.25" customHeight="1">
      <c r="A114" s="325"/>
      <c r="B114" s="344" t="s">
        <v>215</v>
      </c>
      <c r="C114" s="514" t="s">
        <v>254</v>
      </c>
      <c r="D114" s="515"/>
      <c r="E114" s="361">
        <f>ВводДанных!X33/ВводДанных!V96</f>
        <v>0.015398402100241073</v>
      </c>
      <c r="F114" s="347"/>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row>
    <row r="115" spans="1:29" ht="14.25" customHeight="1">
      <c r="A115" s="325"/>
      <c r="B115" s="344" t="s">
        <v>216</v>
      </c>
      <c r="C115" s="514" t="s">
        <v>255</v>
      </c>
      <c r="D115" s="515"/>
      <c r="E115" s="361">
        <f>ВводДанных!X33/(ВводДанных!V109/6)</f>
        <v>0.5297054779651206</v>
      </c>
      <c r="F115" s="347"/>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row>
    <row r="116" spans="1:29" ht="14.25" customHeight="1">
      <c r="A116" s="325"/>
      <c r="B116" s="344" t="s">
        <v>217</v>
      </c>
      <c r="C116" s="514" t="s">
        <v>256</v>
      </c>
      <c r="D116" s="515"/>
      <c r="E116" s="361">
        <f>ВводДанных!X35/ВводДанных!V96</f>
        <v>0.02206262858296836</v>
      </c>
      <c r="F116" s="347"/>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row>
    <row r="117" spans="1:29" ht="14.25" customHeight="1">
      <c r="A117" s="325"/>
      <c r="B117" s="344" t="s">
        <v>218</v>
      </c>
      <c r="C117" s="514" t="s">
        <v>257</v>
      </c>
      <c r="D117" s="515"/>
      <c r="E117" s="361">
        <f>ВводДанных!X35/(ВводДанных!V109/6)</f>
        <v>0.7589550618713367</v>
      </c>
      <c r="F117" s="347"/>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row>
    <row r="118" spans="1:29" ht="14.25" customHeight="1">
      <c r="A118" s="325"/>
      <c r="B118" s="344" t="s">
        <v>219</v>
      </c>
      <c r="C118" s="514" t="s">
        <v>68</v>
      </c>
      <c r="D118" s="515"/>
      <c r="E118" s="361">
        <f>(ВводДанных!X37+ВводДанных!X42+ВводДанных!X43)/ВводДанных!V96</f>
        <v>1.1484683638566686</v>
      </c>
      <c r="F118" s="347"/>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row>
    <row r="119" spans="1:29" ht="14.25" customHeight="1">
      <c r="A119" s="325"/>
      <c r="B119" s="344" t="s">
        <v>220</v>
      </c>
      <c r="C119" s="514" t="s">
        <v>69</v>
      </c>
      <c r="D119" s="515"/>
      <c r="E119" s="361">
        <f>(ВводДанных!X37+ВводДанных!X42+ВводДанных!X43)/(ВводДанных!V109/6)</f>
        <v>39.50734495983791</v>
      </c>
      <c r="F119" s="347"/>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row>
    <row r="120" spans="1:29" ht="14.25" customHeight="1">
      <c r="A120" s="325"/>
      <c r="B120" s="344" t="s">
        <v>221</v>
      </c>
      <c r="C120" s="514" t="s">
        <v>70</v>
      </c>
      <c r="D120" s="515"/>
      <c r="E120" s="361">
        <f>(ВводДанных!X46+ВводДанных!X48)/ВводДанных!V96</f>
        <v>0.009554582286788928</v>
      </c>
      <c r="F120" s="347"/>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row>
    <row r="121" spans="1:29" ht="14.25" customHeight="1">
      <c r="A121" s="325"/>
      <c r="B121" s="344" t="s">
        <v>222</v>
      </c>
      <c r="C121" s="514" t="s">
        <v>71</v>
      </c>
      <c r="D121" s="515"/>
      <c r="E121" s="361">
        <f>(ВводДанных!X46+ВводДанных!X48)/(ВводДанных!V109/6)</f>
        <v>0.3286779072291772</v>
      </c>
      <c r="F121" s="347"/>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row>
    <row r="122" spans="1:29" ht="14.25">
      <c r="A122" s="325"/>
      <c r="B122" s="352"/>
      <c r="C122" s="353"/>
      <c r="D122" s="353"/>
      <c r="E122" s="353"/>
      <c r="F122" s="354"/>
      <c r="G122" s="325"/>
      <c r="H122" s="325"/>
      <c r="I122" s="325"/>
      <c r="J122" s="325"/>
      <c r="K122" s="325"/>
      <c r="L122" s="325"/>
      <c r="M122" s="325"/>
      <c r="N122" s="325"/>
      <c r="O122" s="325"/>
      <c r="P122" s="325"/>
      <c r="Q122" s="325"/>
      <c r="R122" s="325"/>
      <c r="S122" s="325"/>
      <c r="T122" s="325"/>
      <c r="U122" s="325"/>
      <c r="V122" s="325"/>
      <c r="W122" s="325"/>
      <c r="X122" s="325"/>
      <c r="Y122" s="325"/>
      <c r="Z122" s="325"/>
      <c r="AA122" s="325"/>
      <c r="AB122" s="325"/>
      <c r="AC122" s="325"/>
    </row>
    <row r="123" spans="1:29" ht="12">
      <c r="A123" s="325"/>
      <c r="B123" s="338" t="s">
        <v>129</v>
      </c>
      <c r="C123" s="356" t="s">
        <v>131</v>
      </c>
      <c r="D123" s="357"/>
      <c r="E123" s="339" t="s">
        <v>115</v>
      </c>
      <c r="F123" s="340" t="s">
        <v>174</v>
      </c>
      <c r="G123" s="325"/>
      <c r="H123" s="325"/>
      <c r="I123" s="325"/>
      <c r="J123" s="325"/>
      <c r="K123" s="325"/>
      <c r="L123" s="325"/>
      <c r="M123" s="325"/>
      <c r="N123" s="325"/>
      <c r="O123" s="325"/>
      <c r="P123" s="325"/>
      <c r="Q123" s="325"/>
      <c r="R123" s="325"/>
      <c r="S123" s="325"/>
      <c r="T123" s="325"/>
      <c r="U123" s="325"/>
      <c r="V123" s="325"/>
      <c r="W123" s="325"/>
      <c r="X123" s="325"/>
      <c r="Y123" s="325"/>
      <c r="Z123" s="325"/>
      <c r="AA123" s="325"/>
      <c r="AB123" s="325"/>
      <c r="AC123" s="325"/>
    </row>
    <row r="124" spans="1:29" ht="12">
      <c r="A124" s="325"/>
      <c r="B124" s="341" t="s">
        <v>130</v>
      </c>
      <c r="C124" s="358" t="s">
        <v>132</v>
      </c>
      <c r="D124" s="359"/>
      <c r="E124" s="342" t="s">
        <v>114</v>
      </c>
      <c r="F124" s="343" t="s">
        <v>175</v>
      </c>
      <c r="G124" s="325"/>
      <c r="H124" s="325"/>
      <c r="I124" s="325"/>
      <c r="J124" s="325"/>
      <c r="K124" s="325"/>
      <c r="L124" s="325"/>
      <c r="M124" s="325"/>
      <c r="N124" s="325"/>
      <c r="O124" s="325"/>
      <c r="P124" s="325"/>
      <c r="Q124" s="325"/>
      <c r="R124" s="325"/>
      <c r="S124" s="325"/>
      <c r="T124" s="325"/>
      <c r="U124" s="325"/>
      <c r="V124" s="325"/>
      <c r="W124" s="325"/>
      <c r="X124" s="325"/>
      <c r="Y124" s="325"/>
      <c r="Z124" s="325"/>
      <c r="AA124" s="325"/>
      <c r="AB124" s="325"/>
      <c r="AC124" s="325"/>
    </row>
    <row r="125" spans="1:29" ht="12">
      <c r="A125" s="325"/>
      <c r="B125" s="344"/>
      <c r="C125" s="345"/>
      <c r="D125" s="346"/>
      <c r="E125" s="346"/>
      <c r="F125" s="347"/>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row>
    <row r="126" spans="1:29" ht="12">
      <c r="A126" s="325"/>
      <c r="B126" s="344"/>
      <c r="C126" s="345"/>
      <c r="D126" s="348"/>
      <c r="E126" s="348"/>
      <c r="F126" s="347"/>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row>
    <row r="127" spans="1:29" ht="12">
      <c r="A127" s="325"/>
      <c r="B127" s="344"/>
      <c r="C127" s="345"/>
      <c r="D127" s="348"/>
      <c r="E127" s="348"/>
      <c r="F127" s="347"/>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row>
    <row r="128" spans="1:29" ht="12">
      <c r="A128" s="325"/>
      <c r="B128" s="344"/>
      <c r="C128" s="345"/>
      <c r="D128" s="348"/>
      <c r="E128" s="348"/>
      <c r="F128" s="347"/>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row>
    <row r="129" spans="1:29" ht="12">
      <c r="A129" s="325"/>
      <c r="B129" s="344"/>
      <c r="C129" s="345"/>
      <c r="D129" s="348"/>
      <c r="E129" s="348"/>
      <c r="F129" s="347"/>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row>
    <row r="130" spans="1:29" ht="12">
      <c r="A130" s="325"/>
      <c r="B130" s="344"/>
      <c r="C130" s="345"/>
      <c r="D130" s="348"/>
      <c r="E130" s="348"/>
      <c r="F130" s="347"/>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row>
    <row r="131" spans="1:29" ht="12">
      <c r="A131" s="325"/>
      <c r="B131" s="344"/>
      <c r="C131" s="345"/>
      <c r="D131" s="348"/>
      <c r="E131" s="348"/>
      <c r="F131" s="35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row>
    <row r="132" spans="1:29" ht="12">
      <c r="A132" s="325"/>
      <c r="B132" s="344"/>
      <c r="C132" s="345"/>
      <c r="D132" s="348"/>
      <c r="E132" s="348"/>
      <c r="F132" s="347"/>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row>
    <row r="133" spans="1:29" ht="12">
      <c r="A133" s="325"/>
      <c r="B133" s="344"/>
      <c r="C133" s="345"/>
      <c r="D133" s="348"/>
      <c r="E133" s="348"/>
      <c r="F133" s="347"/>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row>
    <row r="134" spans="1:29" ht="11.25" customHeight="1">
      <c r="A134" s="325"/>
      <c r="B134" s="344"/>
      <c r="C134" s="345"/>
      <c r="D134" s="348"/>
      <c r="E134" s="348"/>
      <c r="F134" s="347"/>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row>
    <row r="135" spans="1:29" ht="14.25">
      <c r="A135" s="325"/>
      <c r="B135" s="352"/>
      <c r="C135" s="353"/>
      <c r="D135" s="353"/>
      <c r="E135" s="353"/>
      <c r="F135" s="354"/>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row>
    <row r="136" spans="1:29" ht="12">
      <c r="A136" s="325"/>
      <c r="B136" s="344"/>
      <c r="C136" s="519"/>
      <c r="D136" s="520"/>
      <c r="E136" s="363"/>
      <c r="F136" s="347"/>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row>
    <row r="137" spans="1:29" ht="12">
      <c r="A137" s="325"/>
      <c r="B137" s="344"/>
      <c r="C137" s="519"/>
      <c r="D137" s="520"/>
      <c r="E137" s="363"/>
      <c r="F137" s="347"/>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row>
    <row r="138" spans="1:29" ht="12">
      <c r="A138" s="325"/>
      <c r="B138" s="344"/>
      <c r="C138" s="519"/>
      <c r="D138" s="520"/>
      <c r="E138" s="363"/>
      <c r="F138" s="347"/>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row>
    <row r="139" spans="1:29" ht="12">
      <c r="A139" s="325"/>
      <c r="B139" s="344"/>
      <c r="C139" s="519"/>
      <c r="D139" s="520"/>
      <c r="E139" s="363"/>
      <c r="F139" s="347"/>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row>
    <row r="140" spans="1:29" ht="12.75" thickBot="1">
      <c r="A140" s="325"/>
      <c r="B140" s="364"/>
      <c r="C140" s="517"/>
      <c r="D140" s="518"/>
      <c r="E140" s="363"/>
      <c r="F140" s="347"/>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row>
    <row r="141" spans="1:29" ht="15" thickTop="1">
      <c r="A141" s="325"/>
      <c r="B141" s="365" t="s">
        <v>333</v>
      </c>
      <c r="C141" s="366"/>
      <c r="D141" s="366"/>
      <c r="E141" s="366"/>
      <c r="F141" s="367"/>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row>
    <row r="142" spans="1:29" ht="12">
      <c r="A142" s="325"/>
      <c r="B142" s="338" t="s">
        <v>129</v>
      </c>
      <c r="C142" s="356" t="s">
        <v>131</v>
      </c>
      <c r="D142" s="357"/>
      <c r="E142" s="339" t="s">
        <v>115</v>
      </c>
      <c r="F142" s="340" t="s">
        <v>174</v>
      </c>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row>
    <row r="143" spans="1:29" ht="12">
      <c r="A143" s="325"/>
      <c r="B143" s="341" t="s">
        <v>130</v>
      </c>
      <c r="C143" s="358" t="s">
        <v>132</v>
      </c>
      <c r="D143" s="359"/>
      <c r="E143" s="342" t="s">
        <v>114</v>
      </c>
      <c r="F143" s="343" t="s">
        <v>175</v>
      </c>
      <c r="G143" s="325"/>
      <c r="H143" s="325"/>
      <c r="I143" s="325"/>
      <c r="J143" s="325"/>
      <c r="K143" s="325"/>
      <c r="L143" s="325"/>
      <c r="M143" s="325"/>
      <c r="N143" s="325"/>
      <c r="O143" s="325"/>
      <c r="P143" s="325"/>
      <c r="Q143" s="325"/>
      <c r="R143" s="325"/>
      <c r="S143" s="325"/>
      <c r="T143" s="325"/>
      <c r="U143" s="325"/>
      <c r="V143" s="325"/>
      <c r="W143" s="325"/>
      <c r="X143" s="325"/>
      <c r="Y143" s="325"/>
      <c r="Z143" s="325"/>
      <c r="AA143" s="325"/>
      <c r="AB143" s="325"/>
      <c r="AC143" s="325"/>
    </row>
    <row r="144" spans="1:29" ht="12">
      <c r="A144" s="325"/>
      <c r="B144" s="368" t="s">
        <v>334</v>
      </c>
      <c r="C144" s="369" t="s">
        <v>335</v>
      </c>
      <c r="D144" s="370"/>
      <c r="E144" s="371">
        <f>ВводДанных!R173+ВводДанных!R174</f>
        <v>39257</v>
      </c>
      <c r="F144" s="372">
        <f>E144/$E$148</f>
        <v>0.7889585594276297</v>
      </c>
      <c r="G144" s="325"/>
      <c r="H144" s="325"/>
      <c r="I144" s="325"/>
      <c r="J144" s="325"/>
      <c r="K144" s="325"/>
      <c r="L144" s="325"/>
      <c r="M144" s="325"/>
      <c r="N144" s="325"/>
      <c r="O144" s="325"/>
      <c r="P144" s="325"/>
      <c r="Q144" s="325"/>
      <c r="R144" s="325"/>
      <c r="S144" s="325"/>
      <c r="T144" s="325"/>
      <c r="U144" s="325"/>
      <c r="V144" s="325"/>
      <c r="W144" s="325"/>
      <c r="X144" s="325"/>
      <c r="Y144" s="325"/>
      <c r="Z144" s="325"/>
      <c r="AA144" s="325"/>
      <c r="AB144" s="325"/>
      <c r="AC144" s="325"/>
    </row>
    <row r="145" spans="1:29" ht="12">
      <c r="A145" s="325"/>
      <c r="B145" s="368" t="s">
        <v>336</v>
      </c>
      <c r="C145" s="369" t="s">
        <v>339</v>
      </c>
      <c r="D145" s="370"/>
      <c r="E145" s="371">
        <f>ВводДанных!R169</f>
        <v>6910</v>
      </c>
      <c r="F145" s="372">
        <f>E145/$E$148</f>
        <v>0.13887214116323005</v>
      </c>
      <c r="G145" s="325"/>
      <c r="H145" s="325"/>
      <c r="I145" s="325"/>
      <c r="J145" s="325"/>
      <c r="K145" s="325"/>
      <c r="L145" s="325"/>
      <c r="M145" s="325"/>
      <c r="N145" s="325"/>
      <c r="O145" s="325"/>
      <c r="P145" s="325"/>
      <c r="Q145" s="325"/>
      <c r="R145" s="325"/>
      <c r="S145" s="325"/>
      <c r="T145" s="325"/>
      <c r="U145" s="325"/>
      <c r="V145" s="325"/>
      <c r="W145" s="325"/>
      <c r="X145" s="325"/>
      <c r="Y145" s="325"/>
      <c r="Z145" s="325"/>
      <c r="AA145" s="325"/>
      <c r="AB145" s="325"/>
      <c r="AC145" s="325"/>
    </row>
    <row r="146" spans="1:29" ht="12">
      <c r="A146" s="325"/>
      <c r="B146" s="368" t="s">
        <v>337</v>
      </c>
      <c r="C146" s="369" t="s">
        <v>340</v>
      </c>
      <c r="D146" s="370"/>
      <c r="E146" s="371">
        <f>ВводДанных!R175</f>
        <v>2247</v>
      </c>
      <c r="F146" s="372">
        <f>E146/$E$148</f>
        <v>0.04515856746653804</v>
      </c>
      <c r="G146" s="325"/>
      <c r="H146" s="325"/>
      <c r="I146" s="325"/>
      <c r="J146" s="325"/>
      <c r="K146" s="325"/>
      <c r="L146" s="325"/>
      <c r="M146" s="325"/>
      <c r="N146" s="325"/>
      <c r="O146" s="325"/>
      <c r="P146" s="325"/>
      <c r="Q146" s="325"/>
      <c r="R146" s="325"/>
      <c r="S146" s="325"/>
      <c r="T146" s="325"/>
      <c r="U146" s="325"/>
      <c r="V146" s="325"/>
      <c r="W146" s="325"/>
      <c r="X146" s="325"/>
      <c r="Y146" s="325"/>
      <c r="Z146" s="325"/>
      <c r="AA146" s="325"/>
      <c r="AB146" s="325"/>
      <c r="AC146" s="325"/>
    </row>
    <row r="147" spans="1:29" ht="12">
      <c r="A147" s="325"/>
      <c r="B147" s="368" t="s">
        <v>338</v>
      </c>
      <c r="C147" s="369" t="s">
        <v>341</v>
      </c>
      <c r="D147" s="370"/>
      <c r="E147" s="371">
        <f>ВводДанных!R176</f>
        <v>1344</v>
      </c>
      <c r="F147" s="372">
        <f>E147/$E$148</f>
        <v>0.027010731942602194</v>
      </c>
      <c r="G147" s="325"/>
      <c r="H147" s="325"/>
      <c r="I147" s="325"/>
      <c r="J147" s="325"/>
      <c r="K147" s="325"/>
      <c r="L147" s="325"/>
      <c r="M147" s="325"/>
      <c r="N147" s="325"/>
      <c r="O147" s="325"/>
      <c r="P147" s="325"/>
      <c r="Q147" s="325"/>
      <c r="R147" s="325"/>
      <c r="S147" s="325"/>
      <c r="T147" s="325"/>
      <c r="U147" s="325"/>
      <c r="V147" s="325"/>
      <c r="W147" s="325"/>
      <c r="X147" s="325"/>
      <c r="Y147" s="325"/>
      <c r="Z147" s="325"/>
      <c r="AA147" s="325"/>
      <c r="AB147" s="325"/>
      <c r="AC147" s="325"/>
    </row>
    <row r="148" spans="1:29" ht="12">
      <c r="A148" s="325"/>
      <c r="B148" s="368" t="s">
        <v>178</v>
      </c>
      <c r="C148" s="369" t="s">
        <v>342</v>
      </c>
      <c r="D148" s="370"/>
      <c r="E148" s="371">
        <f>ВводДанных!R178</f>
        <v>49758</v>
      </c>
      <c r="F148" s="372">
        <f>E148/$E$148</f>
        <v>1</v>
      </c>
      <c r="G148" s="325"/>
      <c r="H148" s="325"/>
      <c r="I148" s="325"/>
      <c r="J148" s="325"/>
      <c r="K148" s="325"/>
      <c r="L148" s="325"/>
      <c r="M148" s="325"/>
      <c r="N148" s="325"/>
      <c r="O148" s="325"/>
      <c r="P148" s="325"/>
      <c r="Q148" s="325"/>
      <c r="R148" s="325"/>
      <c r="S148" s="325"/>
      <c r="T148" s="325"/>
      <c r="U148" s="325"/>
      <c r="V148" s="325"/>
      <c r="W148" s="325"/>
      <c r="X148" s="325"/>
      <c r="Y148" s="325"/>
      <c r="Z148" s="325"/>
      <c r="AA148" s="325"/>
      <c r="AB148" s="325"/>
      <c r="AC148" s="325"/>
    </row>
    <row r="149" spans="1:29" ht="12">
      <c r="A149" s="325"/>
      <c r="B149" s="373"/>
      <c r="C149" s="374"/>
      <c r="D149" s="374"/>
      <c r="E149" s="374"/>
      <c r="F149" s="375"/>
      <c r="G149" s="325"/>
      <c r="H149" s="325"/>
      <c r="I149" s="325"/>
      <c r="J149" s="325"/>
      <c r="K149" s="325"/>
      <c r="L149" s="325"/>
      <c r="M149" s="325"/>
      <c r="N149" s="325"/>
      <c r="O149" s="325"/>
      <c r="P149" s="325"/>
      <c r="Q149" s="325"/>
      <c r="R149" s="325"/>
      <c r="S149" s="325"/>
      <c r="T149" s="325"/>
      <c r="U149" s="325"/>
      <c r="V149" s="325"/>
      <c r="W149" s="325"/>
      <c r="X149" s="325"/>
      <c r="Y149" s="325"/>
      <c r="Z149" s="325"/>
      <c r="AA149" s="325"/>
      <c r="AB149" s="325"/>
      <c r="AC149" s="325"/>
    </row>
    <row r="150" spans="1:29" ht="12">
      <c r="A150" s="325"/>
      <c r="B150" s="373"/>
      <c r="C150" s="374"/>
      <c r="D150" s="374"/>
      <c r="E150" s="374"/>
      <c r="F150" s="375"/>
      <c r="G150" s="325"/>
      <c r="H150" s="325"/>
      <c r="I150" s="325"/>
      <c r="J150" s="325"/>
      <c r="K150" s="325"/>
      <c r="L150" s="325"/>
      <c r="M150" s="325"/>
      <c r="N150" s="325"/>
      <c r="O150" s="325"/>
      <c r="P150" s="325"/>
      <c r="Q150" s="325"/>
      <c r="R150" s="325"/>
      <c r="S150" s="325"/>
      <c r="T150" s="325"/>
      <c r="U150" s="325"/>
      <c r="V150" s="325"/>
      <c r="W150" s="325"/>
      <c r="X150" s="325"/>
      <c r="Y150" s="325"/>
      <c r="Z150" s="325"/>
      <c r="AA150" s="325"/>
      <c r="AB150" s="325"/>
      <c r="AC150" s="325"/>
    </row>
    <row r="151" spans="1:29" ht="12">
      <c r="A151" s="325"/>
      <c r="B151" s="373"/>
      <c r="C151" s="374"/>
      <c r="D151" s="374"/>
      <c r="E151" s="374"/>
      <c r="F151" s="375"/>
      <c r="G151" s="325"/>
      <c r="H151" s="325"/>
      <c r="I151" s="325"/>
      <c r="J151" s="325"/>
      <c r="K151" s="325"/>
      <c r="L151" s="325"/>
      <c r="M151" s="325"/>
      <c r="N151" s="325"/>
      <c r="O151" s="325"/>
      <c r="P151" s="325"/>
      <c r="Q151" s="325"/>
      <c r="R151" s="325"/>
      <c r="S151" s="325"/>
      <c r="T151" s="325"/>
      <c r="U151" s="325"/>
      <c r="V151" s="325"/>
      <c r="W151" s="325"/>
      <c r="X151" s="325"/>
      <c r="Y151" s="325"/>
      <c r="Z151" s="325"/>
      <c r="AA151" s="325"/>
      <c r="AB151" s="325"/>
      <c r="AC151" s="325"/>
    </row>
    <row r="152" spans="1:29" ht="12">
      <c r="A152" s="325"/>
      <c r="B152" s="373"/>
      <c r="C152" s="374"/>
      <c r="D152" s="374"/>
      <c r="E152" s="374"/>
      <c r="F152" s="375"/>
      <c r="G152" s="325"/>
      <c r="H152" s="325"/>
      <c r="I152" s="325"/>
      <c r="J152" s="325"/>
      <c r="K152" s="325"/>
      <c r="L152" s="325"/>
      <c r="M152" s="325"/>
      <c r="N152" s="325"/>
      <c r="O152" s="325"/>
      <c r="P152" s="325"/>
      <c r="Q152" s="325"/>
      <c r="R152" s="325"/>
      <c r="S152" s="325"/>
      <c r="T152" s="325"/>
      <c r="U152" s="325"/>
      <c r="V152" s="325"/>
      <c r="W152" s="325"/>
      <c r="X152" s="325"/>
      <c r="Y152" s="325"/>
      <c r="Z152" s="325"/>
      <c r="AA152" s="325"/>
      <c r="AB152" s="325"/>
      <c r="AC152" s="325"/>
    </row>
    <row r="153" spans="1:29" ht="12">
      <c r="A153" s="325"/>
      <c r="B153" s="373"/>
      <c r="C153" s="374"/>
      <c r="D153" s="374"/>
      <c r="E153" s="374"/>
      <c r="F153" s="375"/>
      <c r="G153" s="325"/>
      <c r="H153" s="325"/>
      <c r="I153" s="325"/>
      <c r="J153" s="325"/>
      <c r="K153" s="325"/>
      <c r="L153" s="325"/>
      <c r="M153" s="325"/>
      <c r="N153" s="325"/>
      <c r="O153" s="325"/>
      <c r="P153" s="325"/>
      <c r="Q153" s="325"/>
      <c r="R153" s="325"/>
      <c r="S153" s="325"/>
      <c r="T153" s="325"/>
      <c r="U153" s="325"/>
      <c r="V153" s="325"/>
      <c r="W153" s="325"/>
      <c r="X153" s="325"/>
      <c r="Y153" s="325"/>
      <c r="Z153" s="325"/>
      <c r="AA153" s="325"/>
      <c r="AB153" s="325"/>
      <c r="AC153" s="325"/>
    </row>
    <row r="154" spans="1:29" ht="12">
      <c r="A154" s="325"/>
      <c r="B154" s="373"/>
      <c r="C154" s="374"/>
      <c r="D154" s="374"/>
      <c r="E154" s="374"/>
      <c r="F154" s="375"/>
      <c r="G154" s="325"/>
      <c r="H154" s="325"/>
      <c r="I154" s="325"/>
      <c r="J154" s="325"/>
      <c r="K154" s="325"/>
      <c r="L154" s="325"/>
      <c r="M154" s="325"/>
      <c r="N154" s="325"/>
      <c r="O154" s="325"/>
      <c r="P154" s="325"/>
      <c r="Q154" s="325"/>
      <c r="R154" s="325"/>
      <c r="S154" s="325"/>
      <c r="T154" s="325"/>
      <c r="U154" s="325"/>
      <c r="V154" s="325"/>
      <c r="W154" s="325"/>
      <c r="X154" s="325"/>
      <c r="Y154" s="325"/>
      <c r="Z154" s="325"/>
      <c r="AA154" s="325"/>
      <c r="AB154" s="325"/>
      <c r="AC154" s="325"/>
    </row>
    <row r="155" spans="1:29" ht="12">
      <c r="A155" s="325"/>
      <c r="B155" s="373"/>
      <c r="C155" s="374"/>
      <c r="D155" s="374"/>
      <c r="E155" s="374"/>
      <c r="F155" s="375"/>
      <c r="G155" s="325"/>
      <c r="H155" s="325"/>
      <c r="I155" s="325"/>
      <c r="J155" s="325"/>
      <c r="K155" s="325"/>
      <c r="L155" s="325"/>
      <c r="M155" s="325"/>
      <c r="N155" s="325"/>
      <c r="O155" s="325"/>
      <c r="P155" s="325"/>
      <c r="Q155" s="325"/>
      <c r="R155" s="325"/>
      <c r="S155" s="325"/>
      <c r="T155" s="325"/>
      <c r="U155" s="325"/>
      <c r="V155" s="325"/>
      <c r="W155" s="325"/>
      <c r="X155" s="325"/>
      <c r="Y155" s="325"/>
      <c r="Z155" s="325"/>
      <c r="AA155" s="325"/>
      <c r="AB155" s="325"/>
      <c r="AC155" s="325"/>
    </row>
    <row r="156" spans="1:29" ht="12">
      <c r="A156" s="325"/>
      <c r="B156" s="373"/>
      <c r="C156" s="374"/>
      <c r="D156" s="374"/>
      <c r="E156" s="374"/>
      <c r="F156" s="375"/>
      <c r="G156" s="325"/>
      <c r="H156" s="325"/>
      <c r="I156" s="325"/>
      <c r="J156" s="325"/>
      <c r="K156" s="325"/>
      <c r="L156" s="325"/>
      <c r="M156" s="325"/>
      <c r="N156" s="325"/>
      <c r="O156" s="325"/>
      <c r="P156" s="325"/>
      <c r="Q156" s="325"/>
      <c r="R156" s="325"/>
      <c r="S156" s="325"/>
      <c r="T156" s="325"/>
      <c r="U156" s="325"/>
      <c r="V156" s="325"/>
      <c r="W156" s="325"/>
      <c r="X156" s="325"/>
      <c r="Y156" s="325"/>
      <c r="Z156" s="325"/>
      <c r="AA156" s="325"/>
      <c r="AB156" s="325"/>
      <c r="AC156" s="325"/>
    </row>
    <row r="157" spans="1:29" ht="12">
      <c r="A157" s="325"/>
      <c r="B157" s="373"/>
      <c r="C157" s="374"/>
      <c r="D157" s="374"/>
      <c r="E157" s="374"/>
      <c r="F157" s="375"/>
      <c r="G157" s="325"/>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row>
    <row r="158" spans="1:29" ht="12">
      <c r="A158" s="325"/>
      <c r="B158" s="373"/>
      <c r="C158" s="374"/>
      <c r="D158" s="374"/>
      <c r="E158" s="374"/>
      <c r="F158" s="375"/>
      <c r="G158" s="325"/>
      <c r="H158" s="325"/>
      <c r="I158" s="325"/>
      <c r="J158" s="325"/>
      <c r="K158" s="325"/>
      <c r="L158" s="325"/>
      <c r="M158" s="325"/>
      <c r="N158" s="325"/>
      <c r="O158" s="325"/>
      <c r="P158" s="325"/>
      <c r="Q158" s="325"/>
      <c r="R158" s="325"/>
      <c r="S158" s="325"/>
      <c r="T158" s="325"/>
      <c r="U158" s="325"/>
      <c r="V158" s="325"/>
      <c r="W158" s="325"/>
      <c r="X158" s="325"/>
      <c r="Y158" s="325"/>
      <c r="Z158" s="325"/>
      <c r="AA158" s="325"/>
      <c r="AB158" s="325"/>
      <c r="AC158" s="325"/>
    </row>
    <row r="159" spans="1:29" ht="12">
      <c r="A159" s="325"/>
      <c r="B159" s="373"/>
      <c r="C159" s="374"/>
      <c r="D159" s="374"/>
      <c r="E159" s="374"/>
      <c r="F159" s="375"/>
      <c r="G159" s="325"/>
      <c r="H159" s="325"/>
      <c r="I159" s="325"/>
      <c r="J159" s="325"/>
      <c r="K159" s="325"/>
      <c r="L159" s="325"/>
      <c r="M159" s="325"/>
      <c r="N159" s="325"/>
      <c r="O159" s="325"/>
      <c r="P159" s="325"/>
      <c r="Q159" s="325"/>
      <c r="R159" s="325"/>
      <c r="S159" s="325"/>
      <c r="T159" s="325"/>
      <c r="U159" s="325"/>
      <c r="V159" s="325"/>
      <c r="W159" s="325"/>
      <c r="X159" s="325"/>
      <c r="Y159" s="325"/>
      <c r="Z159" s="325"/>
      <c r="AA159" s="325"/>
      <c r="AB159" s="325"/>
      <c r="AC159" s="325"/>
    </row>
    <row r="160" spans="1:29" ht="12">
      <c r="A160" s="325"/>
      <c r="B160" s="373"/>
      <c r="C160" s="374"/>
      <c r="D160" s="374"/>
      <c r="E160" s="374"/>
      <c r="F160" s="375"/>
      <c r="G160" s="325"/>
      <c r="H160" s="325"/>
      <c r="I160" s="325"/>
      <c r="J160" s="325"/>
      <c r="K160" s="325"/>
      <c r="L160" s="325"/>
      <c r="M160" s="325"/>
      <c r="N160" s="325"/>
      <c r="O160" s="325"/>
      <c r="P160" s="325"/>
      <c r="Q160" s="325"/>
      <c r="R160" s="325"/>
      <c r="S160" s="325"/>
      <c r="T160" s="325"/>
      <c r="U160" s="325"/>
      <c r="V160" s="325"/>
      <c r="W160" s="325"/>
      <c r="X160" s="325"/>
      <c r="Y160" s="325"/>
      <c r="Z160" s="325"/>
      <c r="AA160" s="325"/>
      <c r="AB160" s="325"/>
      <c r="AC160" s="325"/>
    </row>
    <row r="161" spans="1:29" ht="12">
      <c r="A161" s="325"/>
      <c r="B161" s="373"/>
      <c r="C161" s="374"/>
      <c r="D161" s="374"/>
      <c r="E161" s="374"/>
      <c r="F161" s="375"/>
      <c r="G161" s="325"/>
      <c r="H161" s="325"/>
      <c r="I161" s="325"/>
      <c r="J161" s="325"/>
      <c r="K161" s="325"/>
      <c r="L161" s="325"/>
      <c r="M161" s="325"/>
      <c r="N161" s="325"/>
      <c r="O161" s="325"/>
      <c r="P161" s="325"/>
      <c r="Q161" s="325"/>
      <c r="R161" s="325"/>
      <c r="S161" s="325"/>
      <c r="T161" s="325"/>
      <c r="U161" s="325"/>
      <c r="V161" s="325"/>
      <c r="W161" s="325"/>
      <c r="X161" s="325"/>
      <c r="Y161" s="325"/>
      <c r="Z161" s="325"/>
      <c r="AA161" s="325"/>
      <c r="AB161" s="325"/>
      <c r="AC161" s="325"/>
    </row>
    <row r="162" spans="1:29" ht="12">
      <c r="A162" s="325"/>
      <c r="B162" s="373"/>
      <c r="C162" s="374"/>
      <c r="D162" s="374"/>
      <c r="E162" s="374"/>
      <c r="F162" s="375"/>
      <c r="G162" s="325"/>
      <c r="H162" s="325"/>
      <c r="I162" s="325"/>
      <c r="J162" s="325"/>
      <c r="K162" s="325"/>
      <c r="L162" s="325"/>
      <c r="M162" s="325"/>
      <c r="N162" s="325"/>
      <c r="O162" s="325"/>
      <c r="P162" s="325"/>
      <c r="Q162" s="325"/>
      <c r="R162" s="325"/>
      <c r="S162" s="325"/>
      <c r="T162" s="325"/>
      <c r="U162" s="325"/>
      <c r="V162" s="325"/>
      <c r="W162" s="325"/>
      <c r="X162" s="325"/>
      <c r="Y162" s="325"/>
      <c r="Z162" s="325"/>
      <c r="AA162" s="325"/>
      <c r="AB162" s="325"/>
      <c r="AC162" s="325"/>
    </row>
    <row r="163" spans="1:29" ht="3" customHeight="1">
      <c r="A163" s="325"/>
      <c r="B163" s="376"/>
      <c r="C163" s="377"/>
      <c r="D163" s="377"/>
      <c r="E163" s="377"/>
      <c r="F163" s="378"/>
      <c r="G163" s="325"/>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row>
    <row r="164" spans="1:29" ht="14.25">
      <c r="A164" s="325"/>
      <c r="B164" s="379" t="s">
        <v>343</v>
      </c>
      <c r="C164" s="380"/>
      <c r="D164" s="380"/>
      <c r="E164" s="380"/>
      <c r="F164" s="381"/>
      <c r="G164" s="325"/>
      <c r="H164" s="325"/>
      <c r="I164" s="325"/>
      <c r="J164" s="325"/>
      <c r="K164" s="325"/>
      <c r="L164" s="325"/>
      <c r="M164" s="325"/>
      <c r="N164" s="325"/>
      <c r="O164" s="325"/>
      <c r="P164" s="325"/>
      <c r="Q164" s="325"/>
      <c r="R164" s="325"/>
      <c r="S164" s="325"/>
      <c r="T164" s="325"/>
      <c r="U164" s="325"/>
      <c r="V164" s="325"/>
      <c r="W164" s="325"/>
      <c r="X164" s="325"/>
      <c r="Y164" s="325"/>
      <c r="Z164" s="325"/>
      <c r="AA164" s="325"/>
      <c r="AB164" s="325"/>
      <c r="AC164" s="325"/>
    </row>
    <row r="165" spans="1:29" ht="12">
      <c r="A165" s="325"/>
      <c r="B165" s="338" t="s">
        <v>129</v>
      </c>
      <c r="C165" s="356" t="s">
        <v>131</v>
      </c>
      <c r="D165" s="382"/>
      <c r="E165" s="357"/>
      <c r="F165" s="339" t="s">
        <v>115</v>
      </c>
      <c r="G165" s="325"/>
      <c r="H165" s="325"/>
      <c r="I165" s="325"/>
      <c r="J165" s="325"/>
      <c r="K165" s="325"/>
      <c r="L165" s="325"/>
      <c r="M165" s="325"/>
      <c r="N165" s="325"/>
      <c r="O165" s="325"/>
      <c r="P165" s="325"/>
      <c r="Q165" s="325"/>
      <c r="R165" s="325"/>
      <c r="S165" s="325"/>
      <c r="T165" s="325"/>
      <c r="U165" s="325"/>
      <c r="V165" s="325"/>
      <c r="W165" s="325"/>
      <c r="X165" s="325"/>
      <c r="Y165" s="325"/>
      <c r="Z165" s="325"/>
      <c r="AA165" s="325"/>
      <c r="AB165" s="325"/>
      <c r="AC165" s="325"/>
    </row>
    <row r="166" spans="1:29" ht="12">
      <c r="A166" s="325"/>
      <c r="B166" s="341" t="s">
        <v>130</v>
      </c>
      <c r="C166" s="358" t="s">
        <v>132</v>
      </c>
      <c r="D166" s="383"/>
      <c r="E166" s="359"/>
      <c r="F166" s="342" t="s">
        <v>114</v>
      </c>
      <c r="G166" s="325"/>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row>
    <row r="167" spans="1:29" ht="12">
      <c r="A167" s="325"/>
      <c r="B167" s="344" t="s">
        <v>344</v>
      </c>
      <c r="C167" s="369" t="s">
        <v>345</v>
      </c>
      <c r="D167" s="384"/>
      <c r="E167" s="370"/>
      <c r="F167" s="385">
        <f>IF(ВводДанных!Q187=0,0,ВводДанных!T187*1000/ВводДанных!Q187/6)</f>
        <v>52332041.34366926</v>
      </c>
      <c r="G167" s="325"/>
      <c r="H167" s="325"/>
      <c r="I167" s="325"/>
      <c r="J167" s="325"/>
      <c r="K167" s="325"/>
      <c r="L167" s="325"/>
      <c r="M167" s="325"/>
      <c r="N167" s="325"/>
      <c r="O167" s="325"/>
      <c r="P167" s="325"/>
      <c r="Q167" s="325"/>
      <c r="R167" s="325"/>
      <c r="S167" s="325"/>
      <c r="T167" s="325"/>
      <c r="U167" s="325"/>
      <c r="V167" s="325"/>
      <c r="W167" s="325"/>
      <c r="X167" s="325"/>
      <c r="Y167" s="325"/>
      <c r="Z167" s="325"/>
      <c r="AA167" s="325"/>
      <c r="AB167" s="325"/>
      <c r="AC167" s="325"/>
    </row>
    <row r="168" spans="1:29" ht="12">
      <c r="A168" s="325"/>
      <c r="B168" s="344" t="s">
        <v>346</v>
      </c>
      <c r="C168" s="386" t="s">
        <v>613</v>
      </c>
      <c r="D168" s="387"/>
      <c r="E168" s="370"/>
      <c r="F168" s="385">
        <f>IF(ВводДанных!Q188=0,0,ВводДанных!T188*1000/ВводДанных!Q188/12)</f>
        <v>26194202.898550723</v>
      </c>
      <c r="G168" s="325"/>
      <c r="H168" s="325"/>
      <c r="I168" s="325"/>
      <c r="J168" s="325"/>
      <c r="K168" s="325"/>
      <c r="L168" s="325"/>
      <c r="M168" s="325"/>
      <c r="N168" s="325"/>
      <c r="O168" s="325"/>
      <c r="P168" s="325"/>
      <c r="Q168" s="325"/>
      <c r="R168" s="325"/>
      <c r="S168" s="325"/>
      <c r="T168" s="325"/>
      <c r="U168" s="325"/>
      <c r="V168" s="325"/>
      <c r="W168" s="325"/>
      <c r="X168" s="325"/>
      <c r="Y168" s="325"/>
      <c r="Z168" s="325"/>
      <c r="AA168" s="325"/>
      <c r="AB168" s="325"/>
      <c r="AC168" s="325"/>
    </row>
    <row r="169" spans="1:29" ht="12">
      <c r="A169" s="325"/>
      <c r="B169" s="344" t="s">
        <v>265</v>
      </c>
      <c r="C169" s="386" t="s">
        <v>415</v>
      </c>
      <c r="D169" s="387"/>
      <c r="E169" s="370"/>
      <c r="F169" s="385">
        <f>IF(ВводДанных!Q189=0,0,ВводДанных!T189*1000/ВводДанных!Q189/6)</f>
        <v>52388405.797101445</v>
      </c>
      <c r="G169" s="325"/>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row>
    <row r="170" spans="1:29" ht="12">
      <c r="A170" s="325"/>
      <c r="B170" s="344" t="s">
        <v>266</v>
      </c>
      <c r="C170" s="386" t="s">
        <v>416</v>
      </c>
      <c r="D170" s="387"/>
      <c r="E170" s="370"/>
      <c r="F170" s="385">
        <f>IF(ВводДанных!Q190=0,0,ВводДанных!T190*1000/ВводДанных!Q190/12)</f>
        <v>0</v>
      </c>
      <c r="G170" s="325"/>
      <c r="H170" s="325"/>
      <c r="I170" s="325"/>
      <c r="J170" s="325"/>
      <c r="K170" s="325"/>
      <c r="L170" s="325"/>
      <c r="M170" s="325"/>
      <c r="N170" s="325"/>
      <c r="O170" s="325"/>
      <c r="P170" s="325"/>
      <c r="Q170" s="325"/>
      <c r="R170" s="325"/>
      <c r="S170" s="325"/>
      <c r="T170" s="325"/>
      <c r="U170" s="325"/>
      <c r="V170" s="325"/>
      <c r="W170" s="325"/>
      <c r="X170" s="325"/>
      <c r="Y170" s="325"/>
      <c r="Z170" s="325"/>
      <c r="AA170" s="325"/>
      <c r="AB170" s="325"/>
      <c r="AC170" s="325"/>
    </row>
    <row r="171" spans="1:29" ht="12">
      <c r="A171" s="325"/>
      <c r="B171" s="344" t="s">
        <v>267</v>
      </c>
      <c r="C171" s="386" t="s">
        <v>417</v>
      </c>
      <c r="D171" s="387"/>
      <c r="E171" s="370"/>
      <c r="F171" s="385">
        <f>IF(ВводДанных!Q191=0,0,ВводДанных!T191*1000/ВводДанных!Q191/6)</f>
        <v>51869047.61904762</v>
      </c>
      <c r="G171" s="325"/>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row>
    <row r="172" spans="1:29" ht="12">
      <c r="A172" s="325"/>
      <c r="B172" s="344" t="s">
        <v>268</v>
      </c>
      <c r="C172" s="386" t="s">
        <v>418</v>
      </c>
      <c r="D172" s="387"/>
      <c r="E172" s="370"/>
      <c r="F172" s="385">
        <f>IF(ВводДанных!Q192=0,0,ВводДанных!T192*1000/ВводДанных!Q192/6)</f>
        <v>84952111.11111109</v>
      </c>
      <c r="G172" s="325"/>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row>
    <row r="173" spans="1:29" ht="12">
      <c r="A173" s="325"/>
      <c r="B173" s="344" t="s">
        <v>269</v>
      </c>
      <c r="C173" s="386" t="s">
        <v>419</v>
      </c>
      <c r="D173" s="387"/>
      <c r="E173" s="370"/>
      <c r="F173" s="385">
        <f>IF(ВводДанных!Q193=0,0,ВводДанных!T193*1000/ВводДанных!Q193/6)</f>
        <v>27056750.00000001</v>
      </c>
      <c r="G173" s="325"/>
      <c r="H173" s="325"/>
      <c r="I173" s="325"/>
      <c r="J173" s="325"/>
      <c r="K173" s="325"/>
      <c r="L173" s="325"/>
      <c r="M173" s="325"/>
      <c r="N173" s="325"/>
      <c r="O173" s="325"/>
      <c r="P173" s="325"/>
      <c r="Q173" s="325"/>
      <c r="R173" s="325"/>
      <c r="S173" s="325"/>
      <c r="T173" s="325"/>
      <c r="U173" s="325"/>
      <c r="V173" s="325"/>
      <c r="W173" s="325"/>
      <c r="X173" s="325"/>
      <c r="Y173" s="325"/>
      <c r="Z173" s="325"/>
      <c r="AA173" s="325"/>
      <c r="AB173" s="325"/>
      <c r="AC173" s="325"/>
    </row>
    <row r="174" spans="1:29" ht="12">
      <c r="A174" s="325"/>
      <c r="B174" s="344" t="s">
        <v>270</v>
      </c>
      <c r="C174" s="369" t="s">
        <v>347</v>
      </c>
      <c r="D174" s="384"/>
      <c r="E174" s="370"/>
      <c r="F174" s="388">
        <f>IF(ВводДанных!T187=0,0,ВводДанных!X78/(ВводДанных!T187/12))</f>
        <v>0.004355017899024812</v>
      </c>
      <c r="G174" s="325"/>
      <c r="H174" s="325"/>
      <c r="I174" s="325"/>
      <c r="J174" s="325"/>
      <c r="K174" s="325"/>
      <c r="L174" s="325"/>
      <c r="M174" s="325"/>
      <c r="N174" s="325"/>
      <c r="O174" s="325"/>
      <c r="P174" s="325"/>
      <c r="Q174" s="325"/>
      <c r="R174" s="325"/>
      <c r="S174" s="325"/>
      <c r="T174" s="325"/>
      <c r="U174" s="325"/>
      <c r="V174" s="325"/>
      <c r="W174" s="325"/>
      <c r="X174" s="325"/>
      <c r="Y174" s="325"/>
      <c r="Z174" s="325"/>
      <c r="AA174" s="325"/>
      <c r="AB174" s="325"/>
      <c r="AC174" s="325"/>
    </row>
    <row r="175" spans="1:29" ht="14.25">
      <c r="A175" s="325"/>
      <c r="B175" s="352" t="s">
        <v>348</v>
      </c>
      <c r="C175" s="353"/>
      <c r="D175" s="353"/>
      <c r="E175" s="353"/>
      <c r="F175" s="354"/>
      <c r="G175" s="325"/>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row>
    <row r="176" spans="1:29" ht="12" customHeight="1">
      <c r="A176" s="325"/>
      <c r="B176" s="389"/>
      <c r="C176" s="390"/>
      <c r="D176" s="391"/>
      <c r="E176" s="391"/>
      <c r="F176" s="392"/>
      <c r="G176" s="325"/>
      <c r="H176" s="325"/>
      <c r="I176" s="325"/>
      <c r="J176" s="325"/>
      <c r="K176" s="325"/>
      <c r="L176" s="325"/>
      <c r="M176" s="325"/>
      <c r="N176" s="325"/>
      <c r="O176" s="325"/>
      <c r="P176" s="325"/>
      <c r="Q176" s="325"/>
      <c r="R176" s="325"/>
      <c r="S176" s="325"/>
      <c r="T176" s="325"/>
      <c r="U176" s="325"/>
      <c r="V176" s="325"/>
      <c r="W176" s="325"/>
      <c r="X176" s="325"/>
      <c r="Y176" s="325"/>
      <c r="Z176" s="325"/>
      <c r="AA176" s="325"/>
      <c r="AB176" s="325"/>
      <c r="AC176" s="325"/>
    </row>
    <row r="177" spans="1:29" ht="12" customHeight="1">
      <c r="A177" s="325"/>
      <c r="B177" s="393"/>
      <c r="C177" s="394" t="s">
        <v>359</v>
      </c>
      <c r="D177" s="395"/>
      <c r="E177" s="396"/>
      <c r="F177" s="397"/>
      <c r="G177" s="325"/>
      <c r="H177" s="325"/>
      <c r="I177" s="325"/>
      <c r="J177" s="325"/>
      <c r="K177" s="325"/>
      <c r="L177" s="325"/>
      <c r="M177" s="325"/>
      <c r="N177" s="325"/>
      <c r="O177" s="325"/>
      <c r="P177" s="325"/>
      <c r="Q177" s="325"/>
      <c r="R177" s="325"/>
      <c r="S177" s="325"/>
      <c r="T177" s="325"/>
      <c r="U177" s="325"/>
      <c r="V177" s="325"/>
      <c r="W177" s="325"/>
      <c r="X177" s="325"/>
      <c r="Y177" s="325"/>
      <c r="Z177" s="325"/>
      <c r="AA177" s="325"/>
      <c r="AB177" s="325"/>
      <c r="AC177" s="325"/>
    </row>
    <row r="178" spans="1:29" ht="12" customHeight="1">
      <c r="A178" s="325"/>
      <c r="B178" s="398" t="s">
        <v>360</v>
      </c>
      <c r="C178" s="394"/>
      <c r="D178" s="395"/>
      <c r="E178" s="396"/>
      <c r="F178" s="397"/>
      <c r="G178" s="325"/>
      <c r="H178" s="325"/>
      <c r="I178" s="325"/>
      <c r="J178" s="325"/>
      <c r="K178" s="325"/>
      <c r="L178" s="325"/>
      <c r="M178" s="325"/>
      <c r="N178" s="325"/>
      <c r="O178" s="325"/>
      <c r="P178" s="325"/>
      <c r="Q178" s="325"/>
      <c r="R178" s="325"/>
      <c r="S178" s="325"/>
      <c r="T178" s="325"/>
      <c r="U178" s="325"/>
      <c r="V178" s="325"/>
      <c r="W178" s="325"/>
      <c r="X178" s="325"/>
      <c r="Y178" s="325"/>
      <c r="Z178" s="325"/>
      <c r="AA178" s="325"/>
      <c r="AB178" s="325"/>
      <c r="AC178" s="325"/>
    </row>
    <row r="179" spans="1:29" ht="12" customHeight="1">
      <c r="A179" s="325"/>
      <c r="B179" s="398"/>
      <c r="C179" s="394" t="s">
        <v>361</v>
      </c>
      <c r="D179" s="395"/>
      <c r="E179" s="396"/>
      <c r="F179" s="397"/>
      <c r="G179" s="325"/>
      <c r="H179" s="325"/>
      <c r="I179" s="325"/>
      <c r="J179" s="325"/>
      <c r="K179" s="325"/>
      <c r="L179" s="325"/>
      <c r="M179" s="325"/>
      <c r="N179" s="325"/>
      <c r="O179" s="325"/>
      <c r="P179" s="325"/>
      <c r="Q179" s="325"/>
      <c r="R179" s="325"/>
      <c r="S179" s="325"/>
      <c r="T179" s="325"/>
      <c r="U179" s="325"/>
      <c r="V179" s="325"/>
      <c r="W179" s="325"/>
      <c r="X179" s="325"/>
      <c r="Y179" s="325"/>
      <c r="Z179" s="325"/>
      <c r="AA179" s="325"/>
      <c r="AB179" s="325"/>
      <c r="AC179" s="325"/>
    </row>
    <row r="180" spans="1:29" ht="12" customHeight="1">
      <c r="A180" s="325"/>
      <c r="B180" s="398" t="s">
        <v>362</v>
      </c>
      <c r="C180" s="394"/>
      <c r="D180" s="395"/>
      <c r="E180" s="396"/>
      <c r="F180" s="397"/>
      <c r="G180" s="325"/>
      <c r="H180" s="325"/>
      <c r="I180" s="325"/>
      <c r="J180" s="325"/>
      <c r="K180" s="325"/>
      <c r="L180" s="325"/>
      <c r="M180" s="325"/>
      <c r="N180" s="325"/>
      <c r="O180" s="325"/>
      <c r="P180" s="325"/>
      <c r="Q180" s="325"/>
      <c r="R180" s="325"/>
      <c r="S180" s="325"/>
      <c r="T180" s="325"/>
      <c r="U180" s="325"/>
      <c r="V180" s="325"/>
      <c r="W180" s="325"/>
      <c r="X180" s="325"/>
      <c r="Y180" s="325"/>
      <c r="Z180" s="325"/>
      <c r="AA180" s="325"/>
      <c r="AB180" s="325"/>
      <c r="AC180" s="325"/>
    </row>
    <row r="181" spans="1:29" ht="12" customHeight="1">
      <c r="A181" s="325"/>
      <c r="B181" s="398"/>
      <c r="C181" s="399" t="s">
        <v>363</v>
      </c>
      <c r="D181" s="395"/>
      <c r="E181" s="396"/>
      <c r="F181" s="397"/>
      <c r="G181" s="325"/>
      <c r="H181" s="325"/>
      <c r="I181" s="325"/>
      <c r="J181" s="325"/>
      <c r="K181" s="325"/>
      <c r="L181" s="325"/>
      <c r="M181" s="325"/>
      <c r="N181" s="325"/>
      <c r="O181" s="325"/>
      <c r="P181" s="325"/>
      <c r="Q181" s="325"/>
      <c r="R181" s="325"/>
      <c r="S181" s="325"/>
      <c r="T181" s="325"/>
      <c r="U181" s="325"/>
      <c r="V181" s="325"/>
      <c r="W181" s="325"/>
      <c r="X181" s="325"/>
      <c r="Y181" s="325"/>
      <c r="Z181" s="325"/>
      <c r="AA181" s="325"/>
      <c r="AB181" s="325"/>
      <c r="AC181" s="325"/>
    </row>
    <row r="182" spans="1:29" ht="12" customHeight="1">
      <c r="A182" s="325"/>
      <c r="B182" s="398"/>
      <c r="C182" s="399" t="s">
        <v>364</v>
      </c>
      <c r="D182" s="395"/>
      <c r="E182" s="396"/>
      <c r="F182" s="397"/>
      <c r="G182" s="325"/>
      <c r="H182" s="325"/>
      <c r="I182" s="325"/>
      <c r="J182" s="325"/>
      <c r="K182" s="325"/>
      <c r="L182" s="325"/>
      <c r="M182" s="325"/>
      <c r="N182" s="325"/>
      <c r="O182" s="325"/>
      <c r="P182" s="325"/>
      <c r="Q182" s="325"/>
      <c r="R182" s="325"/>
      <c r="S182" s="325"/>
      <c r="T182" s="325"/>
      <c r="U182" s="325"/>
      <c r="V182" s="325"/>
      <c r="W182" s="325"/>
      <c r="X182" s="325"/>
      <c r="Y182" s="325"/>
      <c r="Z182" s="325"/>
      <c r="AA182" s="325"/>
      <c r="AB182" s="325"/>
      <c r="AC182" s="325"/>
    </row>
    <row r="183" spans="1:29" ht="12" customHeight="1">
      <c r="A183" s="325"/>
      <c r="B183" s="398"/>
      <c r="C183" s="399" t="s">
        <v>365</v>
      </c>
      <c r="D183" s="395"/>
      <c r="E183" s="396"/>
      <c r="F183" s="397"/>
      <c r="G183" s="325"/>
      <c r="H183" s="325"/>
      <c r="I183" s="325"/>
      <c r="J183" s="325"/>
      <c r="K183" s="325"/>
      <c r="L183" s="325"/>
      <c r="M183" s="325"/>
      <c r="N183" s="325"/>
      <c r="O183" s="325"/>
      <c r="P183" s="325"/>
      <c r="Q183" s="325"/>
      <c r="R183" s="325"/>
      <c r="S183" s="325"/>
      <c r="T183" s="325"/>
      <c r="U183" s="325"/>
      <c r="V183" s="325"/>
      <c r="W183" s="325"/>
      <c r="X183" s="325"/>
      <c r="Y183" s="325"/>
      <c r="Z183" s="325"/>
      <c r="AA183" s="325"/>
      <c r="AB183" s="325"/>
      <c r="AC183" s="325"/>
    </row>
    <row r="184" spans="1:29" ht="12" customHeight="1">
      <c r="A184" s="325"/>
      <c r="B184" s="398"/>
      <c r="C184" s="399" t="s">
        <v>367</v>
      </c>
      <c r="D184" s="395"/>
      <c r="E184" s="396"/>
      <c r="F184" s="397"/>
      <c r="G184" s="325"/>
      <c r="H184" s="325"/>
      <c r="I184" s="325"/>
      <c r="J184" s="325"/>
      <c r="K184" s="325"/>
      <c r="L184" s="325"/>
      <c r="M184" s="325"/>
      <c r="N184" s="325"/>
      <c r="O184" s="325"/>
      <c r="P184" s="325"/>
      <c r="Q184" s="325"/>
      <c r="R184" s="325"/>
      <c r="S184" s="325"/>
      <c r="T184" s="325"/>
      <c r="U184" s="325"/>
      <c r="V184" s="325"/>
      <c r="W184" s="325"/>
      <c r="X184" s="325"/>
      <c r="Y184" s="325"/>
      <c r="Z184" s="325"/>
      <c r="AA184" s="325"/>
      <c r="AB184" s="325"/>
      <c r="AC184" s="325"/>
    </row>
    <row r="185" spans="1:29" ht="12.75">
      <c r="A185" s="325"/>
      <c r="B185" s="400" t="s">
        <v>128</v>
      </c>
      <c r="C185" s="401"/>
      <c r="D185" s="401"/>
      <c r="E185" s="402"/>
      <c r="F185" s="397"/>
      <c r="G185" s="325"/>
      <c r="H185" s="325"/>
      <c r="I185" s="325"/>
      <c r="J185" s="325"/>
      <c r="K185" s="325"/>
      <c r="L185" s="325"/>
      <c r="M185" s="325"/>
      <c r="N185" s="325"/>
      <c r="O185" s="325"/>
      <c r="P185" s="325"/>
      <c r="Q185" s="325"/>
      <c r="R185" s="325"/>
      <c r="S185" s="325"/>
      <c r="T185" s="325"/>
      <c r="U185" s="325"/>
      <c r="V185" s="325"/>
      <c r="W185" s="325"/>
      <c r="X185" s="325"/>
      <c r="Y185" s="325"/>
      <c r="Z185" s="325"/>
      <c r="AA185" s="325"/>
      <c r="AB185" s="325"/>
      <c r="AC185" s="325"/>
    </row>
    <row r="186" spans="1:29" ht="18">
      <c r="A186" s="325"/>
      <c r="B186" s="403" t="s">
        <v>356</v>
      </c>
      <c r="C186" s="404"/>
      <c r="D186" s="404"/>
      <c r="E186" s="405">
        <f>РасчБаза!M72</f>
        <v>1.7738688633015662</v>
      </c>
      <c r="F186" s="397"/>
      <c r="G186" s="325"/>
      <c r="H186" s="325"/>
      <c r="I186" s="325"/>
      <c r="J186" s="325"/>
      <c r="K186" s="325"/>
      <c r="L186" s="325"/>
      <c r="M186" s="325"/>
      <c r="N186" s="325"/>
      <c r="O186" s="325"/>
      <c r="P186" s="325"/>
      <c r="Q186" s="325"/>
      <c r="R186" s="325"/>
      <c r="S186" s="325"/>
      <c r="T186" s="325"/>
      <c r="U186" s="325"/>
      <c r="V186" s="325"/>
      <c r="W186" s="325"/>
      <c r="X186" s="325"/>
      <c r="Y186" s="325"/>
      <c r="Z186" s="325"/>
      <c r="AA186" s="325"/>
      <c r="AB186" s="325"/>
      <c r="AC186" s="325"/>
    </row>
    <row r="187" spans="1:29" ht="23.25">
      <c r="A187" s="325"/>
      <c r="B187" s="403"/>
      <c r="C187" s="406" t="str">
        <f>РасчБаза!E72</f>
        <v>вероятность банкротства  высокая</v>
      </c>
      <c r="D187" s="407"/>
      <c r="E187" s="408"/>
      <c r="F187" s="397"/>
      <c r="G187" s="325"/>
      <c r="H187" s="325"/>
      <c r="I187" s="325"/>
      <c r="J187" s="325"/>
      <c r="K187" s="325"/>
      <c r="L187" s="325"/>
      <c r="M187" s="325"/>
      <c r="N187" s="325"/>
      <c r="O187" s="325"/>
      <c r="P187" s="325"/>
      <c r="Q187" s="325"/>
      <c r="R187" s="325"/>
      <c r="S187" s="325"/>
      <c r="T187" s="325"/>
      <c r="U187" s="325"/>
      <c r="V187" s="325"/>
      <c r="W187" s="325"/>
      <c r="X187" s="325"/>
      <c r="Y187" s="325"/>
      <c r="Z187" s="325"/>
      <c r="AA187" s="325"/>
      <c r="AB187" s="325"/>
      <c r="AC187" s="325"/>
    </row>
    <row r="188" spans="1:29" ht="14.25">
      <c r="A188" s="325"/>
      <c r="B188" s="409" t="s">
        <v>349</v>
      </c>
      <c r="C188" s="410" t="s">
        <v>350</v>
      </c>
      <c r="D188" s="411">
        <f>РасчБаза!M61</f>
        <v>0.7296846345789616</v>
      </c>
      <c r="E188" s="412"/>
      <c r="F188" s="397"/>
      <c r="G188" s="325"/>
      <c r="H188" s="325"/>
      <c r="I188" s="325"/>
      <c r="J188" s="325"/>
      <c r="K188" s="325"/>
      <c r="L188" s="325"/>
      <c r="M188" s="325"/>
      <c r="N188" s="325"/>
      <c r="O188" s="325"/>
      <c r="P188" s="325"/>
      <c r="Q188" s="325"/>
      <c r="R188" s="325"/>
      <c r="S188" s="325"/>
      <c r="T188" s="325"/>
      <c r="U188" s="325"/>
      <c r="V188" s="325"/>
      <c r="W188" s="325"/>
      <c r="X188" s="325"/>
      <c r="Y188" s="325"/>
      <c r="Z188" s="325"/>
      <c r="AA188" s="325"/>
      <c r="AB188" s="325"/>
      <c r="AC188" s="325"/>
    </row>
    <row r="189" spans="1:29" ht="14.25">
      <c r="A189" s="325"/>
      <c r="B189" s="413"/>
      <c r="C189" s="410" t="s">
        <v>351</v>
      </c>
      <c r="D189" s="411">
        <f>РасчБаза!M62</f>
        <v>0.13832937498121034</v>
      </c>
      <c r="E189" s="412"/>
      <c r="F189" s="397"/>
      <c r="G189" s="325"/>
      <c r="H189" s="325"/>
      <c r="I189" s="325"/>
      <c r="J189" s="325"/>
      <c r="K189" s="325"/>
      <c r="L189" s="325"/>
      <c r="M189" s="325"/>
      <c r="N189" s="325"/>
      <c r="O189" s="325"/>
      <c r="P189" s="325"/>
      <c r="Q189" s="325"/>
      <c r="R189" s="325"/>
      <c r="S189" s="325"/>
      <c r="T189" s="325"/>
      <c r="U189" s="325"/>
      <c r="V189" s="325"/>
      <c r="W189" s="325"/>
      <c r="X189" s="325"/>
      <c r="Y189" s="325"/>
      <c r="Z189" s="325"/>
      <c r="AA189" s="325"/>
      <c r="AB189" s="325"/>
      <c r="AC189" s="325"/>
    </row>
    <row r="190" spans="1:29" ht="14.25">
      <c r="A190" s="325"/>
      <c r="B190" s="413"/>
      <c r="C190" s="410" t="s">
        <v>352</v>
      </c>
      <c r="D190" s="411">
        <f>РасчБаза!M63</f>
        <v>0.022562607100983074</v>
      </c>
      <c r="E190" s="412"/>
      <c r="F190" s="397"/>
      <c r="G190" s="325"/>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row>
    <row r="191" spans="1:29" ht="14.25">
      <c r="A191" s="325"/>
      <c r="B191" s="413"/>
      <c r="C191" s="410" t="s">
        <v>353</v>
      </c>
      <c r="D191" s="411">
        <f>РасчБаза!M64</f>
        <v>0.057759372275501306</v>
      </c>
      <c r="E191" s="412"/>
      <c r="F191" s="397"/>
      <c r="G191" s="325"/>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row>
    <row r="192" spans="1:29" ht="14.25">
      <c r="A192" s="325"/>
      <c r="B192" s="413"/>
      <c r="C192" s="410" t="s">
        <v>354</v>
      </c>
      <c r="D192" s="411">
        <f>РасчБаза!M65</f>
        <v>0.5954739500345729</v>
      </c>
      <c r="E192" s="412"/>
      <c r="F192" s="414"/>
      <c r="G192" s="325"/>
      <c r="H192" s="325"/>
      <c r="I192" s="325"/>
      <c r="J192" s="325"/>
      <c r="K192" s="325"/>
      <c r="L192" s="325"/>
      <c r="M192" s="325"/>
      <c r="N192" s="325"/>
      <c r="O192" s="325"/>
      <c r="P192" s="325"/>
      <c r="Q192" s="325"/>
      <c r="R192" s="325"/>
      <c r="S192" s="325"/>
      <c r="T192" s="325"/>
      <c r="U192" s="325"/>
      <c r="V192" s="325"/>
      <c r="W192" s="325"/>
      <c r="X192" s="325"/>
      <c r="Y192" s="325"/>
      <c r="Z192" s="325"/>
      <c r="AA192" s="325"/>
      <c r="AB192" s="325"/>
      <c r="AC192" s="325"/>
    </row>
    <row r="193" spans="1:29" ht="12">
      <c r="A193" s="325"/>
      <c r="B193" s="415"/>
      <c r="C193" s="416"/>
      <c r="D193" s="417"/>
      <c r="E193" s="418"/>
      <c r="F193" s="419"/>
      <c r="G193" s="325"/>
      <c r="H193" s="325"/>
      <c r="I193" s="325"/>
      <c r="J193" s="325"/>
      <c r="K193" s="325"/>
      <c r="L193" s="325"/>
      <c r="M193" s="325"/>
      <c r="N193" s="325"/>
      <c r="O193" s="325"/>
      <c r="P193" s="325"/>
      <c r="Q193" s="325"/>
      <c r="R193" s="325"/>
      <c r="S193" s="325"/>
      <c r="T193" s="325"/>
      <c r="U193" s="325"/>
      <c r="V193" s="325"/>
      <c r="W193" s="325"/>
      <c r="X193" s="325"/>
      <c r="Y193" s="325"/>
      <c r="Z193" s="325"/>
      <c r="AA193" s="325"/>
      <c r="AB193" s="325"/>
      <c r="AC193" s="325"/>
    </row>
    <row r="194" spans="1:29" ht="14.25">
      <c r="A194" s="325"/>
      <c r="B194" s="352" t="s">
        <v>271</v>
      </c>
      <c r="C194" s="353"/>
      <c r="D194" s="353"/>
      <c r="E194" s="353"/>
      <c r="F194" s="420"/>
      <c r="G194" s="325"/>
      <c r="H194" s="325"/>
      <c r="I194" s="325"/>
      <c r="J194" s="325"/>
      <c r="K194" s="325"/>
      <c r="L194" s="325"/>
      <c r="M194" s="325"/>
      <c r="N194" s="325"/>
      <c r="O194" s="325"/>
      <c r="P194" s="325"/>
      <c r="Q194" s="325"/>
      <c r="R194" s="325"/>
      <c r="S194" s="325"/>
      <c r="T194" s="325"/>
      <c r="U194" s="325"/>
      <c r="V194" s="325"/>
      <c r="W194" s="325"/>
      <c r="X194" s="325"/>
      <c r="Y194" s="325"/>
      <c r="Z194" s="325"/>
      <c r="AA194" s="325"/>
      <c r="AB194" s="325"/>
      <c r="AC194" s="325"/>
    </row>
    <row r="195" spans="1:29" ht="14.25">
      <c r="A195" s="325"/>
      <c r="B195" s="352" t="s">
        <v>272</v>
      </c>
      <c r="C195" s="353"/>
      <c r="D195" s="353"/>
      <c r="E195" s="353"/>
      <c r="F195" s="420"/>
      <c r="G195" s="325"/>
      <c r="H195" s="325"/>
      <c r="I195" s="325"/>
      <c r="J195" s="325"/>
      <c r="K195" s="325"/>
      <c r="L195" s="325"/>
      <c r="M195" s="325"/>
      <c r="N195" s="325"/>
      <c r="O195" s="325"/>
      <c r="P195" s="325"/>
      <c r="Q195" s="325"/>
      <c r="R195" s="325"/>
      <c r="S195" s="325"/>
      <c r="T195" s="325"/>
      <c r="U195" s="325"/>
      <c r="V195" s="325"/>
      <c r="W195" s="325"/>
      <c r="X195" s="325"/>
      <c r="Y195" s="325"/>
      <c r="Z195" s="325"/>
      <c r="AA195" s="325"/>
      <c r="AB195" s="325"/>
      <c r="AC195" s="325"/>
    </row>
    <row r="196" spans="1:29" ht="12">
      <c r="A196" s="325"/>
      <c r="B196" s="398"/>
      <c r="C196" s="394"/>
      <c r="D196" s="421"/>
      <c r="E196" s="422"/>
      <c r="F196" s="397"/>
      <c r="G196" s="325"/>
      <c r="H196" s="325"/>
      <c r="I196" s="325"/>
      <c r="J196" s="325"/>
      <c r="K196" s="325"/>
      <c r="L196" s="325"/>
      <c r="M196" s="325"/>
      <c r="N196" s="325"/>
      <c r="O196" s="325"/>
      <c r="P196" s="325"/>
      <c r="Q196" s="325"/>
      <c r="R196" s="325"/>
      <c r="S196" s="325"/>
      <c r="T196" s="325"/>
      <c r="U196" s="325"/>
      <c r="V196" s="325"/>
      <c r="W196" s="325"/>
      <c r="X196" s="325"/>
      <c r="Y196" s="325"/>
      <c r="Z196" s="325"/>
      <c r="AA196" s="325"/>
      <c r="AB196" s="325"/>
      <c r="AC196" s="325"/>
    </row>
    <row r="197" spans="1:29" ht="12">
      <c r="A197" s="325"/>
      <c r="B197" s="521" t="s">
        <v>277</v>
      </c>
      <c r="C197" s="522"/>
      <c r="D197" s="522"/>
      <c r="E197" s="522"/>
      <c r="F197" s="523"/>
      <c r="G197" s="325"/>
      <c r="H197" s="423"/>
      <c r="I197" s="325"/>
      <c r="J197" s="325"/>
      <c r="K197" s="325"/>
      <c r="L197" s="325"/>
      <c r="M197" s="325"/>
      <c r="N197" s="325"/>
      <c r="O197" s="325"/>
      <c r="P197" s="325"/>
      <c r="Q197" s="325"/>
      <c r="R197" s="325"/>
      <c r="S197" s="325"/>
      <c r="T197" s="325"/>
      <c r="U197" s="325"/>
      <c r="V197" s="325"/>
      <c r="W197" s="325"/>
      <c r="X197" s="325"/>
      <c r="Y197" s="325"/>
      <c r="Z197" s="325"/>
      <c r="AA197" s="325"/>
      <c r="AB197" s="325"/>
      <c r="AC197" s="325"/>
    </row>
    <row r="198" spans="1:29" ht="12">
      <c r="A198" s="325"/>
      <c r="B198" s="521" t="s">
        <v>278</v>
      </c>
      <c r="C198" s="522"/>
      <c r="D198" s="522"/>
      <c r="E198" s="522"/>
      <c r="F198" s="523"/>
      <c r="G198" s="325"/>
      <c r="H198" s="423"/>
      <c r="I198" s="325"/>
      <c r="J198" s="325"/>
      <c r="K198" s="325"/>
      <c r="L198" s="325"/>
      <c r="M198" s="325"/>
      <c r="N198" s="325"/>
      <c r="O198" s="325"/>
      <c r="P198" s="325"/>
      <c r="Q198" s="325"/>
      <c r="R198" s="325"/>
      <c r="S198" s="325"/>
      <c r="T198" s="325"/>
      <c r="U198" s="325"/>
      <c r="V198" s="325"/>
      <c r="W198" s="325"/>
      <c r="X198" s="325"/>
      <c r="Y198" s="325"/>
      <c r="Z198" s="325"/>
      <c r="AA198" s="325"/>
      <c r="AB198" s="325"/>
      <c r="AC198" s="325"/>
    </row>
    <row r="199" spans="1:29" ht="12">
      <c r="A199" s="325"/>
      <c r="B199" s="398" t="s">
        <v>279</v>
      </c>
      <c r="C199" s="421"/>
      <c r="D199" s="421"/>
      <c r="E199" s="421"/>
      <c r="F199" s="397"/>
      <c r="G199" s="325"/>
      <c r="H199" s="325"/>
      <c r="I199" s="325"/>
      <c r="J199" s="325"/>
      <c r="K199" s="325"/>
      <c r="L199" s="325"/>
      <c r="M199" s="325"/>
      <c r="N199" s="325"/>
      <c r="O199" s="325"/>
      <c r="P199" s="325"/>
      <c r="Q199" s="325"/>
      <c r="R199" s="325"/>
      <c r="S199" s="325"/>
      <c r="T199" s="325"/>
      <c r="U199" s="325"/>
      <c r="V199" s="325"/>
      <c r="W199" s="325"/>
      <c r="X199" s="325"/>
      <c r="Y199" s="325"/>
      <c r="Z199" s="325"/>
      <c r="AA199" s="325"/>
      <c r="AB199" s="325"/>
      <c r="AC199" s="325"/>
    </row>
    <row r="200" spans="1:29" ht="12">
      <c r="A200" s="325"/>
      <c r="B200" s="398"/>
      <c r="C200" s="421"/>
      <c r="D200" s="421"/>
      <c r="E200" s="421"/>
      <c r="F200" s="397"/>
      <c r="G200" s="325"/>
      <c r="H200" s="325"/>
      <c r="I200" s="325"/>
      <c r="J200" s="325"/>
      <c r="K200" s="325"/>
      <c r="L200" s="325"/>
      <c r="M200" s="325"/>
      <c r="N200" s="325"/>
      <c r="O200" s="325"/>
      <c r="P200" s="325"/>
      <c r="Q200" s="325"/>
      <c r="R200" s="325"/>
      <c r="S200" s="325"/>
      <c r="T200" s="325"/>
      <c r="U200" s="325"/>
      <c r="V200" s="325"/>
      <c r="W200" s="325"/>
      <c r="X200" s="325"/>
      <c r="Y200" s="325"/>
      <c r="Z200" s="325"/>
      <c r="AA200" s="325"/>
      <c r="AB200" s="325"/>
      <c r="AC200" s="325"/>
    </row>
    <row r="201" spans="1:29" ht="12.75">
      <c r="A201" s="325"/>
      <c r="B201" s="424" t="s">
        <v>273</v>
      </c>
      <c r="C201" s="425"/>
      <c r="D201" s="425"/>
      <c r="E201" s="425"/>
      <c r="F201" s="426"/>
      <c r="G201" s="325"/>
      <c r="H201" s="325"/>
      <c r="I201" s="325"/>
      <c r="J201" s="325"/>
      <c r="K201" s="325"/>
      <c r="L201" s="325"/>
      <c r="M201" s="325"/>
      <c r="N201" s="325"/>
      <c r="O201" s="325"/>
      <c r="P201" s="325"/>
      <c r="Q201" s="325"/>
      <c r="R201" s="325"/>
      <c r="S201" s="325"/>
      <c r="T201" s="325"/>
      <c r="U201" s="325"/>
      <c r="V201" s="325"/>
      <c r="W201" s="325"/>
      <c r="X201" s="325"/>
      <c r="Y201" s="325"/>
      <c r="Z201" s="325"/>
      <c r="AA201" s="325"/>
      <c r="AB201" s="325"/>
      <c r="AC201" s="325"/>
    </row>
    <row r="202" spans="1:29" ht="14.25">
      <c r="A202" s="325"/>
      <c r="B202" s="427" t="s">
        <v>290</v>
      </c>
      <c r="C202" s="425"/>
      <c r="D202" s="428" t="s">
        <v>291</v>
      </c>
      <c r="E202" s="429">
        <f>РасчБаза!M66</f>
        <v>0.010518271502014728</v>
      </c>
      <c r="F202" s="430">
        <f>РасчБаза!L66</f>
        <v>4</v>
      </c>
      <c r="G202" s="325"/>
      <c r="H202" s="325"/>
      <c r="I202" s="325"/>
      <c r="J202" s="325"/>
      <c r="K202" s="325"/>
      <c r="L202" s="325"/>
      <c r="M202" s="325"/>
      <c r="N202" s="325"/>
      <c r="O202" s="325"/>
      <c r="P202" s="325"/>
      <c r="Q202" s="325"/>
      <c r="R202" s="325"/>
      <c r="S202" s="325"/>
      <c r="T202" s="325"/>
      <c r="U202" s="325"/>
      <c r="V202" s="325"/>
      <c r="W202" s="325"/>
      <c r="X202" s="325"/>
      <c r="Y202" s="325"/>
      <c r="Z202" s="325"/>
      <c r="AA202" s="325"/>
      <c r="AB202" s="325"/>
      <c r="AC202" s="325"/>
    </row>
    <row r="203" spans="1:29" ht="12.75">
      <c r="A203" s="325"/>
      <c r="B203" s="424" t="s">
        <v>274</v>
      </c>
      <c r="C203" s="425"/>
      <c r="D203" s="425"/>
      <c r="E203" s="425"/>
      <c r="F203" s="426"/>
      <c r="G203" s="325"/>
      <c r="H203" s="325"/>
      <c r="I203" s="325"/>
      <c r="J203" s="325"/>
      <c r="K203" s="325"/>
      <c r="L203" s="325"/>
      <c r="M203" s="325"/>
      <c r="N203" s="325"/>
      <c r="O203" s="325"/>
      <c r="P203" s="325"/>
      <c r="Q203" s="325"/>
      <c r="R203" s="325"/>
      <c r="S203" s="325"/>
      <c r="T203" s="325"/>
      <c r="U203" s="325"/>
      <c r="V203" s="325"/>
      <c r="W203" s="325"/>
      <c r="X203" s="325"/>
      <c r="Y203" s="325"/>
      <c r="Z203" s="325"/>
      <c r="AA203" s="325"/>
      <c r="AB203" s="325"/>
      <c r="AC203" s="325"/>
    </row>
    <row r="204" spans="1:29" ht="14.25">
      <c r="A204" s="325"/>
      <c r="B204" s="427" t="s">
        <v>275</v>
      </c>
      <c r="C204" s="425"/>
      <c r="D204" s="428" t="s">
        <v>292</v>
      </c>
      <c r="E204" s="429">
        <f>РасчБаза!M67</f>
        <v>1.274822842851188</v>
      </c>
      <c r="F204" s="430">
        <f>РасчБаза!L67</f>
        <v>7.5</v>
      </c>
      <c r="G204" s="325"/>
      <c r="H204" s="325"/>
      <c r="I204" s="325"/>
      <c r="J204" s="325"/>
      <c r="K204" s="325"/>
      <c r="L204" s="325"/>
      <c r="M204" s="325"/>
      <c r="N204" s="325"/>
      <c r="O204" s="325"/>
      <c r="P204" s="325"/>
      <c r="Q204" s="325"/>
      <c r="R204" s="325"/>
      <c r="S204" s="325"/>
      <c r="T204" s="325"/>
      <c r="U204" s="325"/>
      <c r="V204" s="325"/>
      <c r="W204" s="325"/>
      <c r="X204" s="325"/>
      <c r="Y204" s="325"/>
      <c r="Z204" s="325"/>
      <c r="AA204" s="325"/>
      <c r="AB204" s="325"/>
      <c r="AC204" s="325"/>
    </row>
    <row r="205" spans="1:29" ht="12.75">
      <c r="A205" s="325"/>
      <c r="B205" s="424" t="s">
        <v>276</v>
      </c>
      <c r="C205" s="425"/>
      <c r="D205" s="425"/>
      <c r="E205" s="425"/>
      <c r="F205" s="426"/>
      <c r="G205" s="325"/>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row>
    <row r="206" spans="1:29" ht="14.25">
      <c r="A206" s="325"/>
      <c r="B206" s="427" t="s">
        <v>282</v>
      </c>
      <c r="C206" s="425"/>
      <c r="D206" s="428" t="s">
        <v>293</v>
      </c>
      <c r="E206" s="429">
        <f>РасчБаза!M68</f>
        <v>1.348937057107128</v>
      </c>
      <c r="F206" s="430">
        <f>РасчБаза!L68</f>
        <v>4.5</v>
      </c>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row>
    <row r="207" spans="1:29" ht="12.75">
      <c r="A207" s="325"/>
      <c r="B207" s="424" t="s">
        <v>283</v>
      </c>
      <c r="C207" s="425"/>
      <c r="D207" s="425"/>
      <c r="E207" s="425"/>
      <c r="F207" s="426"/>
      <c r="G207" s="325"/>
      <c r="H207" s="325"/>
      <c r="I207" s="325"/>
      <c r="J207" s="325"/>
      <c r="K207" s="325"/>
      <c r="L207" s="325"/>
      <c r="M207" s="325"/>
      <c r="N207" s="325"/>
      <c r="O207" s="325"/>
      <c r="P207" s="325"/>
      <c r="Q207" s="325"/>
      <c r="R207" s="325"/>
      <c r="S207" s="325"/>
      <c r="T207" s="325"/>
      <c r="U207" s="325"/>
      <c r="V207" s="325"/>
      <c r="W207" s="325"/>
      <c r="X207" s="325"/>
      <c r="Y207" s="325"/>
      <c r="Z207" s="325"/>
      <c r="AA207" s="325"/>
      <c r="AB207" s="325"/>
      <c r="AC207" s="325"/>
    </row>
    <row r="208" spans="1:29" ht="14.25">
      <c r="A208" s="325"/>
      <c r="B208" s="427" t="s">
        <v>284</v>
      </c>
      <c r="C208" s="425"/>
      <c r="D208" s="428" t="s">
        <v>294</v>
      </c>
      <c r="E208" s="429">
        <f>РасчБаза!M69</f>
        <v>0.2569783490925571</v>
      </c>
      <c r="F208" s="430">
        <v>6</v>
      </c>
      <c r="G208" s="325"/>
      <c r="H208" s="325"/>
      <c r="I208" s="325"/>
      <c r="J208" s="325"/>
      <c r="K208" s="325"/>
      <c r="L208" s="325"/>
      <c r="M208" s="325"/>
      <c r="N208" s="325"/>
      <c r="O208" s="325"/>
      <c r="P208" s="325"/>
      <c r="Q208" s="325"/>
      <c r="R208" s="325"/>
      <c r="S208" s="325"/>
      <c r="T208" s="325"/>
      <c r="U208" s="325"/>
      <c r="V208" s="325"/>
      <c r="W208" s="325"/>
      <c r="X208" s="325"/>
      <c r="Y208" s="325"/>
      <c r="Z208" s="325"/>
      <c r="AA208" s="325"/>
      <c r="AB208" s="325"/>
      <c r="AC208" s="325"/>
    </row>
    <row r="209" spans="1:29" ht="12.75">
      <c r="A209" s="325"/>
      <c r="B209" s="424" t="s">
        <v>285</v>
      </c>
      <c r="C209" s="425"/>
      <c r="D209" s="425"/>
      <c r="E209" s="425"/>
      <c r="F209" s="426"/>
      <c r="G209" s="325"/>
      <c r="H209" s="325"/>
      <c r="I209" s="325"/>
      <c r="J209" s="325"/>
      <c r="K209" s="325"/>
      <c r="L209" s="325"/>
      <c r="M209" s="325"/>
      <c r="N209" s="325"/>
      <c r="O209" s="325"/>
      <c r="P209" s="325"/>
      <c r="Q209" s="325"/>
      <c r="R209" s="325"/>
      <c r="S209" s="325"/>
      <c r="T209" s="325"/>
      <c r="U209" s="325"/>
      <c r="V209" s="325"/>
      <c r="W209" s="325"/>
      <c r="X209" s="325"/>
      <c r="Y209" s="325"/>
      <c r="Z209" s="325"/>
      <c r="AA209" s="325"/>
      <c r="AB209" s="325"/>
      <c r="AC209" s="325"/>
    </row>
    <row r="210" spans="1:29" ht="14.25">
      <c r="A210" s="325"/>
      <c r="B210" s="427" t="s">
        <v>286</v>
      </c>
      <c r="C210" s="425"/>
      <c r="D210" s="428" t="s">
        <v>295</v>
      </c>
      <c r="E210" s="429">
        <f>РасчБаза!M70</f>
        <v>0.26560925203864516</v>
      </c>
      <c r="F210" s="430">
        <f>РасчБаза!L70</f>
        <v>1</v>
      </c>
      <c r="G210" s="325"/>
      <c r="H210" s="325"/>
      <c r="I210" s="325"/>
      <c r="J210" s="325"/>
      <c r="K210" s="325"/>
      <c r="L210" s="325"/>
      <c r="M210" s="325"/>
      <c r="N210" s="325"/>
      <c r="O210" s="325"/>
      <c r="P210" s="325"/>
      <c r="Q210" s="325"/>
      <c r="R210" s="325"/>
      <c r="S210" s="325"/>
      <c r="T210" s="325"/>
      <c r="U210" s="325"/>
      <c r="V210" s="325"/>
      <c r="W210" s="325"/>
      <c r="X210" s="325"/>
      <c r="Y210" s="325"/>
      <c r="Z210" s="325"/>
      <c r="AA210" s="325"/>
      <c r="AB210" s="325"/>
      <c r="AC210" s="325"/>
    </row>
    <row r="211" spans="1:29" ht="12.75">
      <c r="A211" s="325"/>
      <c r="B211" s="424" t="s">
        <v>287</v>
      </c>
      <c r="C211" s="425"/>
      <c r="D211" s="425"/>
      <c r="E211" s="425"/>
      <c r="F211" s="426"/>
      <c r="G211" s="325"/>
      <c r="H211" s="325"/>
      <c r="I211" s="325"/>
      <c r="J211" s="325"/>
      <c r="K211" s="325"/>
      <c r="L211" s="325"/>
      <c r="M211" s="325"/>
      <c r="N211" s="325"/>
      <c r="O211" s="325"/>
      <c r="P211" s="325"/>
      <c r="Q211" s="325"/>
      <c r="R211" s="325"/>
      <c r="S211" s="325"/>
      <c r="T211" s="325"/>
      <c r="U211" s="325"/>
      <c r="V211" s="325"/>
      <c r="W211" s="325"/>
      <c r="X211" s="325"/>
      <c r="Y211" s="325"/>
      <c r="Z211" s="325"/>
      <c r="AA211" s="325"/>
      <c r="AB211" s="325"/>
      <c r="AC211" s="325"/>
    </row>
    <row r="212" spans="1:29" ht="12">
      <c r="A212" s="325"/>
      <c r="B212" s="427" t="s">
        <v>289</v>
      </c>
      <c r="C212" s="425"/>
      <c r="D212" s="425"/>
      <c r="E212" s="425"/>
      <c r="F212" s="426"/>
      <c r="G212" s="325"/>
      <c r="H212" s="325"/>
      <c r="I212" s="325"/>
      <c r="J212" s="325"/>
      <c r="K212" s="325"/>
      <c r="L212" s="325"/>
      <c r="M212" s="325"/>
      <c r="N212" s="325"/>
      <c r="O212" s="325"/>
      <c r="P212" s="325"/>
      <c r="Q212" s="325"/>
      <c r="R212" s="325"/>
      <c r="S212" s="325"/>
      <c r="T212" s="325"/>
      <c r="U212" s="325"/>
      <c r="V212" s="325"/>
      <c r="W212" s="325"/>
      <c r="X212" s="325"/>
      <c r="Y212" s="325"/>
      <c r="Z212" s="325"/>
      <c r="AA212" s="325"/>
      <c r="AB212" s="325"/>
      <c r="AC212" s="325"/>
    </row>
    <row r="213" spans="1:29" ht="14.25">
      <c r="A213" s="325"/>
      <c r="B213" s="427" t="s">
        <v>288</v>
      </c>
      <c r="C213" s="425"/>
      <c r="D213" s="428" t="s">
        <v>296</v>
      </c>
      <c r="E213" s="429">
        <f>РасчБаза!M71</f>
        <v>5.823660714285714</v>
      </c>
      <c r="F213" s="430">
        <f>РасчБаза!L71</f>
        <v>13.5</v>
      </c>
      <c r="G213" s="325"/>
      <c r="H213" s="325"/>
      <c r="I213" s="325"/>
      <c r="J213" s="325"/>
      <c r="K213" s="325"/>
      <c r="L213" s="325"/>
      <c r="M213" s="325"/>
      <c r="N213" s="325"/>
      <c r="O213" s="325"/>
      <c r="P213" s="325"/>
      <c r="Q213" s="325"/>
      <c r="R213" s="325"/>
      <c r="S213" s="325"/>
      <c r="T213" s="325"/>
      <c r="U213" s="325"/>
      <c r="V213" s="325"/>
      <c r="W213" s="325"/>
      <c r="X213" s="325"/>
      <c r="Y213" s="325"/>
      <c r="Z213" s="325"/>
      <c r="AA213" s="325"/>
      <c r="AB213" s="325"/>
      <c r="AC213" s="325"/>
    </row>
    <row r="214" spans="1:29" ht="12">
      <c r="A214" s="325"/>
      <c r="B214" s="427" t="s">
        <v>300</v>
      </c>
      <c r="C214" s="425"/>
      <c r="D214" s="425"/>
      <c r="E214" s="425"/>
      <c r="F214" s="426"/>
      <c r="G214" s="325"/>
      <c r="H214" s="325"/>
      <c r="I214" s="325"/>
      <c r="J214" s="325"/>
      <c r="K214" s="325"/>
      <c r="L214" s="325"/>
      <c r="M214" s="325"/>
      <c r="N214" s="325"/>
      <c r="O214" s="325"/>
      <c r="P214" s="325"/>
      <c r="Q214" s="325"/>
      <c r="R214" s="325"/>
      <c r="S214" s="325"/>
      <c r="T214" s="325"/>
      <c r="U214" s="325"/>
      <c r="V214" s="325"/>
      <c r="W214" s="325"/>
      <c r="X214" s="325"/>
      <c r="Y214" s="325"/>
      <c r="Z214" s="325"/>
      <c r="AA214" s="325"/>
      <c r="AB214" s="325"/>
      <c r="AC214" s="325"/>
    </row>
    <row r="215" spans="1:29" ht="12">
      <c r="A215" s="325"/>
      <c r="B215" s="427" t="s">
        <v>297</v>
      </c>
      <c r="C215" s="425"/>
      <c r="D215" s="425"/>
      <c r="E215" s="425"/>
      <c r="F215" s="426"/>
      <c r="G215" s="325"/>
      <c r="H215" s="325"/>
      <c r="I215" s="325"/>
      <c r="J215" s="325"/>
      <c r="K215" s="325"/>
      <c r="L215" s="325"/>
      <c r="M215" s="325"/>
      <c r="N215" s="325"/>
      <c r="O215" s="325"/>
      <c r="P215" s="325"/>
      <c r="Q215" s="325"/>
      <c r="R215" s="325"/>
      <c r="S215" s="325"/>
      <c r="T215" s="325"/>
      <c r="U215" s="325"/>
      <c r="V215" s="325"/>
      <c r="W215" s="325"/>
      <c r="X215" s="325"/>
      <c r="Y215" s="325"/>
      <c r="Z215" s="325"/>
      <c r="AA215" s="325"/>
      <c r="AB215" s="325"/>
      <c r="AC215" s="325"/>
    </row>
    <row r="216" spans="1:29" ht="18">
      <c r="A216" s="325"/>
      <c r="B216" s="431" t="str">
        <f>CONCATENATE("Организация относится к ",РасчБаза!E73)</f>
        <v>Организация относится к третьей группе</v>
      </c>
      <c r="C216" s="432"/>
      <c r="D216" s="432"/>
      <c r="E216" s="432"/>
      <c r="F216" s="433"/>
      <c r="G216" s="325"/>
      <c r="H216" s="325"/>
      <c r="I216" s="325"/>
      <c r="J216" s="325"/>
      <c r="K216" s="325"/>
      <c r="L216" s="325"/>
      <c r="M216" s="325"/>
      <c r="N216" s="325"/>
      <c r="O216" s="325"/>
      <c r="P216" s="325"/>
      <c r="Q216" s="325"/>
      <c r="R216" s="325"/>
      <c r="S216" s="325"/>
      <c r="T216" s="325"/>
      <c r="U216" s="325"/>
      <c r="V216" s="325"/>
      <c r="W216" s="325"/>
      <c r="X216" s="325"/>
      <c r="Y216" s="325"/>
      <c r="Z216" s="325"/>
      <c r="AA216" s="325"/>
      <c r="AB216" s="325"/>
      <c r="AC216" s="325"/>
    </row>
    <row r="217" spans="1:29" ht="18">
      <c r="A217" s="325"/>
      <c r="B217" s="431" t="str">
        <f>CONCATENATE("по финансовой устойчивости (сумма баллов ",ROUND(РасчБаза!M73,1),")")</f>
        <v>по финансовой устойчивости (сумма баллов 36,5)</v>
      </c>
      <c r="C217" s="432"/>
      <c r="D217" s="432"/>
      <c r="E217" s="432"/>
      <c r="F217" s="433"/>
      <c r="G217" s="325"/>
      <c r="H217" s="325"/>
      <c r="I217" s="325"/>
      <c r="J217" s="325"/>
      <c r="K217" s="325"/>
      <c r="L217" s="325"/>
      <c r="M217" s="325"/>
      <c r="N217" s="325"/>
      <c r="O217" s="325"/>
      <c r="P217" s="325"/>
      <c r="Q217" s="325"/>
      <c r="R217" s="325"/>
      <c r="S217" s="325"/>
      <c r="T217" s="325"/>
      <c r="U217" s="325"/>
      <c r="V217" s="325"/>
      <c r="W217" s="325"/>
      <c r="X217" s="325"/>
      <c r="Y217" s="325"/>
      <c r="Z217" s="325"/>
      <c r="AA217" s="325"/>
      <c r="AB217" s="325"/>
      <c r="AC217" s="325"/>
    </row>
    <row r="218" spans="1:29" ht="18">
      <c r="A218" s="325"/>
      <c r="B218" s="434" t="s">
        <v>331</v>
      </c>
      <c r="C218" s="435"/>
      <c r="D218" s="435"/>
      <c r="E218" s="435"/>
      <c r="F218" s="397"/>
      <c r="G218" s="325"/>
      <c r="H218" s="325"/>
      <c r="I218" s="325"/>
      <c r="J218" s="325"/>
      <c r="K218" s="325"/>
      <c r="L218" s="325"/>
      <c r="M218" s="325"/>
      <c r="N218" s="325"/>
      <c r="O218" s="325"/>
      <c r="P218" s="325"/>
      <c r="Q218" s="325"/>
      <c r="R218" s="325"/>
      <c r="S218" s="325"/>
      <c r="T218" s="325"/>
      <c r="U218" s="325"/>
      <c r="V218" s="325"/>
      <c r="W218" s="325"/>
      <c r="X218" s="325"/>
      <c r="Y218" s="325"/>
      <c r="Z218" s="325"/>
      <c r="AA218" s="325"/>
      <c r="AB218" s="325"/>
      <c r="AC218" s="325"/>
    </row>
    <row r="219" spans="1:29" ht="12.75">
      <c r="A219" s="325"/>
      <c r="B219" s="398"/>
      <c r="C219" s="516" t="s">
        <v>615</v>
      </c>
      <c r="D219" s="516"/>
      <c r="E219" s="435"/>
      <c r="F219" s="397"/>
      <c r="G219" s="325"/>
      <c r="H219" s="325"/>
      <c r="I219" s="325"/>
      <c r="J219" s="325"/>
      <c r="K219" s="325"/>
      <c r="L219" s="325"/>
      <c r="M219" s="325"/>
      <c r="N219" s="325"/>
      <c r="O219" s="325"/>
      <c r="P219" s="325"/>
      <c r="Q219" s="325"/>
      <c r="R219" s="325"/>
      <c r="S219" s="325"/>
      <c r="T219" s="325"/>
      <c r="U219" s="325"/>
      <c r="V219" s="325"/>
      <c r="W219" s="325"/>
      <c r="X219" s="325"/>
      <c r="Y219" s="325"/>
      <c r="Z219" s="325"/>
      <c r="AA219" s="325"/>
      <c r="AB219" s="325"/>
      <c r="AC219" s="325"/>
    </row>
    <row r="220" spans="1:29" ht="12.75">
      <c r="A220" s="325"/>
      <c r="B220" s="398"/>
      <c r="C220" s="436" t="s">
        <v>309</v>
      </c>
      <c r="D220" s="437" t="s">
        <v>301</v>
      </c>
      <c r="E220" s="438">
        <v>20</v>
      </c>
      <c r="F220" s="397"/>
      <c r="G220" s="325"/>
      <c r="H220" s="325"/>
      <c r="I220" s="325"/>
      <c r="J220" s="325"/>
      <c r="K220" s="325"/>
      <c r="L220" s="325"/>
      <c r="M220" s="325"/>
      <c r="N220" s="325"/>
      <c r="O220" s="325"/>
      <c r="P220" s="325"/>
      <c r="Q220" s="325"/>
      <c r="R220" s="325"/>
      <c r="S220" s="325"/>
      <c r="T220" s="325"/>
      <c r="U220" s="325"/>
      <c r="V220" s="325"/>
      <c r="W220" s="325"/>
      <c r="X220" s="325"/>
      <c r="Y220" s="325"/>
      <c r="Z220" s="325"/>
      <c r="AA220" s="325"/>
      <c r="AB220" s="325"/>
      <c r="AC220" s="325"/>
    </row>
    <row r="221" spans="1:29" ht="12.75">
      <c r="A221" s="325"/>
      <c r="B221" s="398"/>
      <c r="C221" s="439" t="s">
        <v>310</v>
      </c>
      <c r="D221" s="437" t="s">
        <v>305</v>
      </c>
      <c r="E221" s="438">
        <v>18</v>
      </c>
      <c r="F221" s="397"/>
      <c r="G221" s="325"/>
      <c r="H221" s="325"/>
      <c r="I221" s="325"/>
      <c r="J221" s="325"/>
      <c r="K221" s="325"/>
      <c r="L221" s="325"/>
      <c r="M221" s="325"/>
      <c r="N221" s="325"/>
      <c r="O221" s="325"/>
      <c r="P221" s="325"/>
      <c r="Q221" s="325"/>
      <c r="R221" s="325"/>
      <c r="S221" s="325"/>
      <c r="T221" s="325"/>
      <c r="U221" s="325"/>
      <c r="V221" s="325"/>
      <c r="W221" s="325"/>
      <c r="X221" s="325"/>
      <c r="Y221" s="325"/>
      <c r="Z221" s="325"/>
      <c r="AA221" s="325"/>
      <c r="AB221" s="325"/>
      <c r="AC221" s="325"/>
    </row>
    <row r="222" spans="1:29" ht="12.75">
      <c r="A222" s="325"/>
      <c r="B222" s="398"/>
      <c r="C222" s="439" t="s">
        <v>311</v>
      </c>
      <c r="D222" s="437" t="s">
        <v>306</v>
      </c>
      <c r="E222" s="438">
        <v>16.5</v>
      </c>
      <c r="F222" s="397"/>
      <c r="G222" s="325"/>
      <c r="H222" s="325"/>
      <c r="I222" s="325"/>
      <c r="J222" s="325"/>
      <c r="K222" s="325"/>
      <c r="L222" s="325"/>
      <c r="M222" s="325"/>
      <c r="N222" s="325"/>
      <c r="O222" s="325"/>
      <c r="P222" s="325"/>
      <c r="Q222" s="325"/>
      <c r="R222" s="325"/>
      <c r="S222" s="325"/>
      <c r="T222" s="325"/>
      <c r="U222" s="325"/>
      <c r="V222" s="325"/>
      <c r="W222" s="325"/>
      <c r="X222" s="325"/>
      <c r="Y222" s="325"/>
      <c r="Z222" s="325"/>
      <c r="AA222" s="325"/>
      <c r="AB222" s="325"/>
      <c r="AC222" s="325"/>
    </row>
    <row r="223" spans="1:29" ht="12">
      <c r="A223" s="325"/>
      <c r="B223" s="398"/>
      <c r="C223" s="439" t="s">
        <v>312</v>
      </c>
      <c r="D223" s="437" t="s">
        <v>301</v>
      </c>
      <c r="E223" s="438">
        <v>15</v>
      </c>
      <c r="F223" s="397"/>
      <c r="G223" s="325"/>
      <c r="H223" s="325"/>
      <c r="I223" s="325"/>
      <c r="J223" s="325"/>
      <c r="K223" s="325"/>
      <c r="L223" s="325"/>
      <c r="M223" s="325"/>
      <c r="N223" s="325"/>
      <c r="O223" s="325"/>
      <c r="P223" s="325"/>
      <c r="Q223" s="325"/>
      <c r="R223" s="325"/>
      <c r="S223" s="325"/>
      <c r="T223" s="325"/>
      <c r="U223" s="325"/>
      <c r="V223" s="325"/>
      <c r="W223" s="325"/>
      <c r="X223" s="325"/>
      <c r="Y223" s="325"/>
      <c r="Z223" s="325"/>
      <c r="AA223" s="325"/>
      <c r="AB223" s="325"/>
      <c r="AC223" s="325"/>
    </row>
    <row r="224" spans="1:29" ht="12.75">
      <c r="A224" s="325"/>
      <c r="B224" s="398"/>
      <c r="C224" s="439" t="s">
        <v>313</v>
      </c>
      <c r="D224" s="437" t="s">
        <v>307</v>
      </c>
      <c r="E224" s="438">
        <v>17</v>
      </c>
      <c r="F224" s="397"/>
      <c r="G224" s="325"/>
      <c r="H224" s="325"/>
      <c r="I224" s="325"/>
      <c r="J224" s="325"/>
      <c r="K224" s="325"/>
      <c r="L224" s="325"/>
      <c r="M224" s="325"/>
      <c r="N224" s="325"/>
      <c r="O224" s="325"/>
      <c r="P224" s="325"/>
      <c r="Q224" s="325"/>
      <c r="R224" s="325"/>
      <c r="S224" s="325"/>
      <c r="T224" s="325"/>
      <c r="U224" s="325"/>
      <c r="V224" s="325"/>
      <c r="W224" s="325"/>
      <c r="X224" s="325"/>
      <c r="Y224" s="325"/>
      <c r="Z224" s="325"/>
      <c r="AA224" s="325"/>
      <c r="AB224" s="325"/>
      <c r="AC224" s="325"/>
    </row>
    <row r="225" spans="1:29" ht="12.75">
      <c r="A225" s="325"/>
      <c r="B225" s="398"/>
      <c r="C225" s="440" t="s">
        <v>314</v>
      </c>
      <c r="D225" s="437" t="s">
        <v>308</v>
      </c>
      <c r="E225" s="438">
        <v>13.5</v>
      </c>
      <c r="F225" s="397"/>
      <c r="G225" s="325"/>
      <c r="H225" s="325"/>
      <c r="I225" s="325"/>
      <c r="J225" s="325"/>
      <c r="K225" s="325"/>
      <c r="L225" s="325"/>
      <c r="M225" s="325"/>
      <c r="N225" s="325"/>
      <c r="O225" s="325"/>
      <c r="P225" s="325"/>
      <c r="Q225" s="325"/>
      <c r="R225" s="325"/>
      <c r="S225" s="325"/>
      <c r="T225" s="325"/>
      <c r="U225" s="325"/>
      <c r="V225" s="325"/>
      <c r="W225" s="325"/>
      <c r="X225" s="325"/>
      <c r="Y225" s="325"/>
      <c r="Z225" s="325"/>
      <c r="AA225" s="325"/>
      <c r="AB225" s="325"/>
      <c r="AC225" s="325"/>
    </row>
    <row r="226" spans="1:29" ht="12.75">
      <c r="A226" s="325"/>
      <c r="B226" s="398"/>
      <c r="C226" s="435" t="s">
        <v>616</v>
      </c>
      <c r="D226" s="435"/>
      <c r="E226" s="435"/>
      <c r="F226" s="397"/>
      <c r="G226" s="325"/>
      <c r="H226" s="325"/>
      <c r="I226" s="325"/>
      <c r="J226" s="325"/>
      <c r="K226" s="325"/>
      <c r="L226" s="325"/>
      <c r="M226" s="325"/>
      <c r="N226" s="325"/>
      <c r="O226" s="325"/>
      <c r="P226" s="325"/>
      <c r="Q226" s="325"/>
      <c r="R226" s="325"/>
      <c r="S226" s="325"/>
      <c r="T226" s="325"/>
      <c r="U226" s="325"/>
      <c r="V226" s="325"/>
      <c r="W226" s="325"/>
      <c r="X226" s="325"/>
      <c r="Y226" s="325"/>
      <c r="Z226" s="325"/>
      <c r="AA226" s="325"/>
      <c r="AB226" s="325"/>
      <c r="AC226" s="325"/>
    </row>
    <row r="227" spans="1:29" ht="12.75">
      <c r="A227" s="325"/>
      <c r="B227" s="398"/>
      <c r="C227" s="436" t="s">
        <v>309</v>
      </c>
      <c r="D227" s="437" t="s">
        <v>302</v>
      </c>
      <c r="E227" s="438">
        <v>16</v>
      </c>
      <c r="F227" s="397"/>
      <c r="G227" s="325"/>
      <c r="H227" s="325"/>
      <c r="I227" s="325"/>
      <c r="J227" s="325"/>
      <c r="K227" s="325"/>
      <c r="L227" s="325"/>
      <c r="M227" s="325"/>
      <c r="N227" s="325"/>
      <c r="O227" s="325"/>
      <c r="P227" s="325"/>
      <c r="Q227" s="325"/>
      <c r="R227" s="325"/>
      <c r="S227" s="325"/>
      <c r="T227" s="325"/>
      <c r="U227" s="325"/>
      <c r="V227" s="325"/>
      <c r="W227" s="325"/>
      <c r="X227" s="325"/>
      <c r="Y227" s="325"/>
      <c r="Z227" s="325"/>
      <c r="AA227" s="325"/>
      <c r="AB227" s="325"/>
      <c r="AC227" s="325"/>
    </row>
    <row r="228" spans="1:29" ht="12.75">
      <c r="A228" s="325"/>
      <c r="B228" s="398"/>
      <c r="C228" s="439" t="s">
        <v>310</v>
      </c>
      <c r="D228" s="437" t="s">
        <v>315</v>
      </c>
      <c r="E228" s="438">
        <v>15</v>
      </c>
      <c r="F228" s="397"/>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row>
    <row r="229" spans="1:29" ht="12.75">
      <c r="A229" s="325"/>
      <c r="B229" s="398"/>
      <c r="C229" s="439" t="s">
        <v>311</v>
      </c>
      <c r="D229" s="437" t="s">
        <v>316</v>
      </c>
      <c r="E229" s="438">
        <v>13.5</v>
      </c>
      <c r="F229" s="397"/>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row>
    <row r="230" spans="1:29" ht="12">
      <c r="A230" s="325"/>
      <c r="B230" s="398"/>
      <c r="C230" s="439" t="s">
        <v>312</v>
      </c>
      <c r="D230" s="437" t="s">
        <v>302</v>
      </c>
      <c r="E230" s="438">
        <v>12</v>
      </c>
      <c r="F230" s="397"/>
      <c r="G230" s="325"/>
      <c r="H230" s="325"/>
      <c r="I230" s="325"/>
      <c r="J230" s="325"/>
      <c r="K230" s="325"/>
      <c r="L230" s="325"/>
      <c r="M230" s="325"/>
      <c r="N230" s="325"/>
      <c r="O230" s="325"/>
      <c r="P230" s="325"/>
      <c r="Q230" s="325"/>
      <c r="R230" s="325"/>
      <c r="S230" s="325"/>
      <c r="T230" s="325"/>
      <c r="U230" s="325"/>
      <c r="V230" s="325"/>
      <c r="W230" s="325"/>
      <c r="X230" s="325"/>
      <c r="Y230" s="325"/>
      <c r="Z230" s="325"/>
      <c r="AA230" s="325"/>
      <c r="AB230" s="325"/>
      <c r="AC230" s="325"/>
    </row>
    <row r="231" spans="1:29" ht="12.75">
      <c r="A231" s="325"/>
      <c r="B231" s="398"/>
      <c r="C231" s="439" t="s">
        <v>313</v>
      </c>
      <c r="D231" s="437" t="s">
        <v>317</v>
      </c>
      <c r="E231" s="438">
        <v>14.2</v>
      </c>
      <c r="F231" s="397"/>
      <c r="G231" s="325"/>
      <c r="H231" s="325"/>
      <c r="I231" s="325"/>
      <c r="J231" s="325"/>
      <c r="K231" s="325"/>
      <c r="L231" s="325"/>
      <c r="M231" s="325"/>
      <c r="N231" s="325"/>
      <c r="O231" s="325"/>
      <c r="P231" s="325"/>
      <c r="Q231" s="325"/>
      <c r="R231" s="325"/>
      <c r="S231" s="325"/>
      <c r="T231" s="325"/>
      <c r="U231" s="325"/>
      <c r="V231" s="325"/>
      <c r="W231" s="325"/>
      <c r="X231" s="325"/>
      <c r="Y231" s="325"/>
      <c r="Z231" s="325"/>
      <c r="AA231" s="325"/>
      <c r="AB231" s="325"/>
      <c r="AC231" s="325"/>
    </row>
    <row r="232" spans="1:29" ht="12.75">
      <c r="A232" s="325"/>
      <c r="B232" s="398"/>
      <c r="C232" s="440" t="s">
        <v>314</v>
      </c>
      <c r="D232" s="437" t="s">
        <v>318</v>
      </c>
      <c r="E232" s="438">
        <v>11</v>
      </c>
      <c r="F232" s="397"/>
      <c r="G232" s="325"/>
      <c r="H232" s="325"/>
      <c r="I232" s="325"/>
      <c r="J232" s="325"/>
      <c r="K232" s="325"/>
      <c r="L232" s="325"/>
      <c r="M232" s="325"/>
      <c r="N232" s="325"/>
      <c r="O232" s="325"/>
      <c r="P232" s="325"/>
      <c r="Q232" s="325"/>
      <c r="R232" s="325"/>
      <c r="S232" s="325"/>
      <c r="T232" s="325"/>
      <c r="U232" s="325"/>
      <c r="V232" s="325"/>
      <c r="W232" s="325"/>
      <c r="X232" s="325"/>
      <c r="Y232" s="325"/>
      <c r="Z232" s="325"/>
      <c r="AA232" s="325"/>
      <c r="AB232" s="325"/>
      <c r="AC232" s="325"/>
    </row>
    <row r="233" spans="1:29" ht="12.75">
      <c r="A233" s="325"/>
      <c r="B233" s="398"/>
      <c r="C233" s="435" t="s">
        <v>617</v>
      </c>
      <c r="D233" s="435"/>
      <c r="E233" s="435"/>
      <c r="F233" s="397"/>
      <c r="G233" s="325"/>
      <c r="H233" s="325"/>
      <c r="I233" s="325"/>
      <c r="J233" s="325"/>
      <c r="K233" s="325"/>
      <c r="L233" s="325"/>
      <c r="M233" s="325"/>
      <c r="N233" s="325"/>
      <c r="O233" s="325"/>
      <c r="P233" s="325"/>
      <c r="Q233" s="325"/>
      <c r="R233" s="325"/>
      <c r="S233" s="325"/>
      <c r="T233" s="325"/>
      <c r="U233" s="325"/>
      <c r="V233" s="325"/>
      <c r="W233" s="325"/>
      <c r="X233" s="325"/>
      <c r="Y233" s="325"/>
      <c r="Z233" s="325"/>
      <c r="AA233" s="325"/>
      <c r="AB233" s="325"/>
      <c r="AC233" s="325"/>
    </row>
    <row r="234" spans="1:29" ht="12.75">
      <c r="A234" s="325"/>
      <c r="B234" s="398"/>
      <c r="C234" s="436" t="s">
        <v>309</v>
      </c>
      <c r="D234" s="437" t="s">
        <v>303</v>
      </c>
      <c r="E234" s="438">
        <v>12</v>
      </c>
      <c r="F234" s="397"/>
      <c r="G234" s="325"/>
      <c r="H234" s="325"/>
      <c r="I234" s="325"/>
      <c r="J234" s="325"/>
      <c r="K234" s="325"/>
      <c r="L234" s="325"/>
      <c r="M234" s="325"/>
      <c r="N234" s="325"/>
      <c r="O234" s="325"/>
      <c r="P234" s="325"/>
      <c r="Q234" s="325"/>
      <c r="R234" s="325"/>
      <c r="S234" s="325"/>
      <c r="T234" s="325"/>
      <c r="U234" s="325"/>
      <c r="V234" s="325"/>
      <c r="W234" s="325"/>
      <c r="X234" s="325"/>
      <c r="Y234" s="325"/>
      <c r="Z234" s="325"/>
      <c r="AA234" s="325"/>
      <c r="AB234" s="325"/>
      <c r="AC234" s="325"/>
    </row>
    <row r="235" spans="1:29" ht="12.75">
      <c r="A235" s="325"/>
      <c r="B235" s="398"/>
      <c r="C235" s="439" t="s">
        <v>310</v>
      </c>
      <c r="D235" s="437" t="s">
        <v>319</v>
      </c>
      <c r="E235" s="438">
        <v>12</v>
      </c>
      <c r="F235" s="397"/>
      <c r="G235" s="325"/>
      <c r="H235" s="325"/>
      <c r="I235" s="325"/>
      <c r="J235" s="325"/>
      <c r="K235" s="325"/>
      <c r="L235" s="325"/>
      <c r="M235" s="325"/>
      <c r="N235" s="325"/>
      <c r="O235" s="325"/>
      <c r="P235" s="325"/>
      <c r="Q235" s="325"/>
      <c r="R235" s="325"/>
      <c r="S235" s="325"/>
      <c r="T235" s="325"/>
      <c r="U235" s="325"/>
      <c r="V235" s="325"/>
      <c r="W235" s="325"/>
      <c r="X235" s="325"/>
      <c r="Y235" s="325"/>
      <c r="Z235" s="325"/>
      <c r="AA235" s="325"/>
      <c r="AB235" s="325"/>
      <c r="AC235" s="325"/>
    </row>
    <row r="236" spans="1:29" ht="12.75">
      <c r="A236" s="325"/>
      <c r="B236" s="398"/>
      <c r="C236" s="439" t="s">
        <v>311</v>
      </c>
      <c r="D236" s="437" t="s">
        <v>320</v>
      </c>
      <c r="E236" s="438">
        <v>9</v>
      </c>
      <c r="F236" s="397"/>
      <c r="G236" s="325"/>
      <c r="H236" s="325"/>
      <c r="I236" s="325"/>
      <c r="J236" s="325"/>
      <c r="K236" s="325"/>
      <c r="L236" s="325"/>
      <c r="M236" s="325"/>
      <c r="N236" s="325"/>
      <c r="O236" s="325"/>
      <c r="P236" s="325"/>
      <c r="Q236" s="325"/>
      <c r="R236" s="325"/>
      <c r="S236" s="325"/>
      <c r="T236" s="325"/>
      <c r="U236" s="325"/>
      <c r="V236" s="325"/>
      <c r="W236" s="325"/>
      <c r="X236" s="325"/>
      <c r="Y236" s="325"/>
      <c r="Z236" s="325"/>
      <c r="AA236" s="325"/>
      <c r="AB236" s="325"/>
      <c r="AC236" s="325"/>
    </row>
    <row r="237" spans="1:29" ht="12">
      <c r="A237" s="325"/>
      <c r="B237" s="398"/>
      <c r="C237" s="439" t="s">
        <v>312</v>
      </c>
      <c r="D237" s="437" t="s">
        <v>303</v>
      </c>
      <c r="E237" s="438">
        <v>9</v>
      </c>
      <c r="F237" s="397"/>
      <c r="G237" s="325"/>
      <c r="H237" s="325"/>
      <c r="I237" s="325"/>
      <c r="J237" s="325"/>
      <c r="K237" s="325"/>
      <c r="L237" s="325"/>
      <c r="M237" s="325"/>
      <c r="N237" s="325"/>
      <c r="O237" s="325"/>
      <c r="P237" s="325"/>
      <c r="Q237" s="325"/>
      <c r="R237" s="325"/>
      <c r="S237" s="325"/>
      <c r="T237" s="325"/>
      <c r="U237" s="325"/>
      <c r="V237" s="325"/>
      <c r="W237" s="325"/>
      <c r="X237" s="325"/>
      <c r="Y237" s="325"/>
      <c r="Z237" s="325"/>
      <c r="AA237" s="325"/>
      <c r="AB237" s="325"/>
      <c r="AC237" s="325"/>
    </row>
    <row r="238" spans="1:29" ht="12.75">
      <c r="A238" s="325"/>
      <c r="B238" s="398"/>
      <c r="C238" s="439" t="s">
        <v>313</v>
      </c>
      <c r="D238" s="437" t="s">
        <v>321</v>
      </c>
      <c r="E238" s="438">
        <v>9.4</v>
      </c>
      <c r="F238" s="397"/>
      <c r="G238" s="325"/>
      <c r="H238" s="325"/>
      <c r="I238" s="325"/>
      <c r="J238" s="325"/>
      <c r="K238" s="325"/>
      <c r="L238" s="325"/>
      <c r="M238" s="325"/>
      <c r="N238" s="325"/>
      <c r="O238" s="325"/>
      <c r="P238" s="325"/>
      <c r="Q238" s="325"/>
      <c r="R238" s="325"/>
      <c r="S238" s="325"/>
      <c r="T238" s="325"/>
      <c r="U238" s="325"/>
      <c r="V238" s="325"/>
      <c r="W238" s="325"/>
      <c r="X238" s="325"/>
      <c r="Y238" s="325"/>
      <c r="Z238" s="325"/>
      <c r="AA238" s="325"/>
      <c r="AB238" s="325"/>
      <c r="AC238" s="325"/>
    </row>
    <row r="239" spans="1:29" ht="12.75">
      <c r="A239" s="325"/>
      <c r="B239" s="398"/>
      <c r="C239" s="440" t="s">
        <v>314</v>
      </c>
      <c r="D239" s="437" t="s">
        <v>322</v>
      </c>
      <c r="E239" s="438">
        <v>8.5</v>
      </c>
      <c r="F239" s="397"/>
      <c r="G239" s="325"/>
      <c r="H239" s="325"/>
      <c r="I239" s="325"/>
      <c r="J239" s="325"/>
      <c r="K239" s="325"/>
      <c r="L239" s="325"/>
      <c r="M239" s="325"/>
      <c r="N239" s="325"/>
      <c r="O239" s="325"/>
      <c r="P239" s="325"/>
      <c r="Q239" s="325"/>
      <c r="R239" s="325"/>
      <c r="S239" s="325"/>
      <c r="T239" s="325"/>
      <c r="U239" s="325"/>
      <c r="V239" s="325"/>
      <c r="W239" s="325"/>
      <c r="X239" s="325"/>
      <c r="Y239" s="325"/>
      <c r="Z239" s="325"/>
      <c r="AA239" s="325"/>
      <c r="AB239" s="325"/>
      <c r="AC239" s="325"/>
    </row>
    <row r="240" spans="1:29" ht="12.75">
      <c r="A240" s="325"/>
      <c r="B240" s="398"/>
      <c r="C240" s="435" t="s">
        <v>618</v>
      </c>
      <c r="D240" s="435"/>
      <c r="E240" s="435"/>
      <c r="F240" s="397"/>
      <c r="G240" s="325"/>
      <c r="H240" s="325"/>
      <c r="I240" s="325"/>
      <c r="J240" s="325"/>
      <c r="K240" s="325"/>
      <c r="L240" s="325"/>
      <c r="M240" s="325"/>
      <c r="N240" s="325"/>
      <c r="O240" s="325"/>
      <c r="P240" s="325"/>
      <c r="Q240" s="325"/>
      <c r="R240" s="325"/>
      <c r="S240" s="325"/>
      <c r="T240" s="325"/>
      <c r="U240" s="325"/>
      <c r="V240" s="325"/>
      <c r="W240" s="325"/>
      <c r="X240" s="325"/>
      <c r="Y240" s="325"/>
      <c r="Z240" s="325"/>
      <c r="AA240" s="325"/>
      <c r="AB240" s="325"/>
      <c r="AC240" s="325"/>
    </row>
    <row r="241" spans="1:29" ht="12.75">
      <c r="A241" s="325"/>
      <c r="B241" s="398"/>
      <c r="C241" s="436" t="s">
        <v>309</v>
      </c>
      <c r="D241" s="437" t="s">
        <v>304</v>
      </c>
      <c r="E241" s="438">
        <v>8</v>
      </c>
      <c r="F241" s="397"/>
      <c r="G241" s="325"/>
      <c r="H241" s="325"/>
      <c r="I241" s="325"/>
      <c r="J241" s="325"/>
      <c r="K241" s="325"/>
      <c r="L241" s="325"/>
      <c r="M241" s="325"/>
      <c r="N241" s="325"/>
      <c r="O241" s="325"/>
      <c r="P241" s="325"/>
      <c r="Q241" s="325"/>
      <c r="R241" s="325"/>
      <c r="S241" s="325"/>
      <c r="T241" s="325"/>
      <c r="U241" s="325"/>
      <c r="V241" s="325"/>
      <c r="W241" s="325"/>
      <c r="X241" s="325"/>
      <c r="Y241" s="325"/>
      <c r="Z241" s="325"/>
      <c r="AA241" s="325"/>
      <c r="AB241" s="325"/>
      <c r="AC241" s="325"/>
    </row>
    <row r="242" spans="1:29" ht="12.75">
      <c r="A242" s="325"/>
      <c r="B242" s="398"/>
      <c r="C242" s="439" t="s">
        <v>310</v>
      </c>
      <c r="D242" s="437" t="s">
        <v>323</v>
      </c>
      <c r="E242" s="438">
        <v>7.5</v>
      </c>
      <c r="F242" s="397"/>
      <c r="G242" s="325"/>
      <c r="H242" s="325"/>
      <c r="I242" s="325"/>
      <c r="J242" s="325"/>
      <c r="K242" s="325"/>
      <c r="L242" s="325"/>
      <c r="M242" s="325"/>
      <c r="N242" s="325"/>
      <c r="O242" s="325"/>
      <c r="P242" s="325"/>
      <c r="Q242" s="325"/>
      <c r="R242" s="325"/>
      <c r="S242" s="325"/>
      <c r="T242" s="325"/>
      <c r="U242" s="325"/>
      <c r="V242" s="325"/>
      <c r="W242" s="325"/>
      <c r="X242" s="325"/>
      <c r="Y242" s="325"/>
      <c r="Z242" s="325"/>
      <c r="AA242" s="325"/>
      <c r="AB242" s="325"/>
      <c r="AC242" s="325"/>
    </row>
    <row r="243" spans="1:29" ht="12.75">
      <c r="A243" s="325"/>
      <c r="B243" s="398"/>
      <c r="C243" s="439" t="s">
        <v>311</v>
      </c>
      <c r="D243" s="437" t="s">
        <v>324</v>
      </c>
      <c r="E243" s="438">
        <v>4.5</v>
      </c>
      <c r="F243" s="397"/>
      <c r="G243" s="325"/>
      <c r="H243" s="325"/>
      <c r="I243" s="325"/>
      <c r="J243" s="325"/>
      <c r="K243" s="325"/>
      <c r="L243" s="325"/>
      <c r="M243" s="325"/>
      <c r="N243" s="325"/>
      <c r="O243" s="325"/>
      <c r="P243" s="325"/>
      <c r="Q243" s="325"/>
      <c r="R243" s="325"/>
      <c r="S243" s="325"/>
      <c r="T243" s="325"/>
      <c r="U243" s="325"/>
      <c r="V243" s="325"/>
      <c r="W243" s="325"/>
      <c r="X243" s="325"/>
      <c r="Y243" s="325"/>
      <c r="Z243" s="325"/>
      <c r="AA243" s="325"/>
      <c r="AB243" s="325"/>
      <c r="AC243" s="325"/>
    </row>
    <row r="244" spans="1:29" ht="12">
      <c r="A244" s="325"/>
      <c r="B244" s="398"/>
      <c r="C244" s="439" t="s">
        <v>312</v>
      </c>
      <c r="D244" s="437" t="s">
        <v>304</v>
      </c>
      <c r="E244" s="438">
        <v>6</v>
      </c>
      <c r="F244" s="397"/>
      <c r="G244" s="325"/>
      <c r="H244" s="325"/>
      <c r="I244" s="325"/>
      <c r="J244" s="325"/>
      <c r="K244" s="325"/>
      <c r="L244" s="325"/>
      <c r="M244" s="325"/>
      <c r="N244" s="325"/>
      <c r="O244" s="325"/>
      <c r="P244" s="325"/>
      <c r="Q244" s="325"/>
      <c r="R244" s="325"/>
      <c r="S244" s="325"/>
      <c r="T244" s="325"/>
      <c r="U244" s="325"/>
      <c r="V244" s="325"/>
      <c r="W244" s="325"/>
      <c r="X244" s="325"/>
      <c r="Y244" s="325"/>
      <c r="Z244" s="325"/>
      <c r="AA244" s="325"/>
      <c r="AB244" s="325"/>
      <c r="AC244" s="325"/>
    </row>
    <row r="245" spans="1:29" ht="12.75">
      <c r="A245" s="325"/>
      <c r="B245" s="398"/>
      <c r="C245" s="439" t="s">
        <v>313</v>
      </c>
      <c r="D245" s="437" t="s">
        <v>325</v>
      </c>
      <c r="E245" s="438">
        <v>4.4</v>
      </c>
      <c r="F245" s="397"/>
      <c r="G245" s="325"/>
      <c r="H245" s="325"/>
      <c r="I245" s="325"/>
      <c r="J245" s="325"/>
      <c r="K245" s="325"/>
      <c r="L245" s="325"/>
      <c r="M245" s="325"/>
      <c r="N245" s="325"/>
      <c r="O245" s="325"/>
      <c r="P245" s="325"/>
      <c r="Q245" s="325"/>
      <c r="R245" s="325"/>
      <c r="S245" s="325"/>
      <c r="T245" s="325"/>
      <c r="U245" s="325"/>
      <c r="V245" s="325"/>
      <c r="W245" s="325"/>
      <c r="X245" s="325"/>
      <c r="Y245" s="325"/>
      <c r="Z245" s="325"/>
      <c r="AA245" s="325"/>
      <c r="AB245" s="325"/>
      <c r="AC245" s="325"/>
    </row>
    <row r="246" spans="1:29" ht="12.75">
      <c r="A246" s="325"/>
      <c r="B246" s="398"/>
      <c r="C246" s="440" t="s">
        <v>314</v>
      </c>
      <c r="D246" s="437" t="s">
        <v>326</v>
      </c>
      <c r="E246" s="438">
        <v>4.8</v>
      </c>
      <c r="F246" s="397"/>
      <c r="G246" s="325"/>
      <c r="H246" s="325"/>
      <c r="I246" s="325"/>
      <c r="J246" s="325"/>
      <c r="K246" s="325"/>
      <c r="L246" s="325"/>
      <c r="M246" s="325"/>
      <c r="N246" s="325"/>
      <c r="O246" s="325"/>
      <c r="P246" s="325"/>
      <c r="Q246" s="325"/>
      <c r="R246" s="325"/>
      <c r="S246" s="325"/>
      <c r="T246" s="325"/>
      <c r="U246" s="325"/>
      <c r="V246" s="325"/>
      <c r="W246" s="325"/>
      <c r="X246" s="325"/>
      <c r="Y246" s="325"/>
      <c r="Z246" s="325"/>
      <c r="AA246" s="325"/>
      <c r="AB246" s="325"/>
      <c r="AC246" s="325"/>
    </row>
    <row r="247" spans="1:29" ht="12.75">
      <c r="A247" s="325"/>
      <c r="B247" s="398"/>
      <c r="C247" s="435" t="s">
        <v>614</v>
      </c>
      <c r="D247" s="435"/>
      <c r="E247" s="435"/>
      <c r="F247" s="397"/>
      <c r="G247" s="325"/>
      <c r="H247" s="325"/>
      <c r="I247" s="325"/>
      <c r="J247" s="325"/>
      <c r="K247" s="325"/>
      <c r="L247" s="325"/>
      <c r="M247" s="325"/>
      <c r="N247" s="325"/>
      <c r="O247" s="325"/>
      <c r="P247" s="325"/>
      <c r="Q247" s="325"/>
      <c r="R247" s="325"/>
      <c r="S247" s="325"/>
      <c r="T247" s="325"/>
      <c r="U247" s="325"/>
      <c r="V247" s="325"/>
      <c r="W247" s="325"/>
      <c r="X247" s="325"/>
      <c r="Y247" s="325"/>
      <c r="Z247" s="325"/>
      <c r="AA247" s="325"/>
      <c r="AB247" s="325"/>
      <c r="AC247" s="325"/>
    </row>
    <row r="248" spans="1:29" ht="12.75">
      <c r="A248" s="325"/>
      <c r="B248" s="398"/>
      <c r="C248" s="436" t="s">
        <v>309</v>
      </c>
      <c r="D248" s="437" t="s">
        <v>327</v>
      </c>
      <c r="E248" s="438">
        <v>4</v>
      </c>
      <c r="F248" s="397"/>
      <c r="G248" s="325"/>
      <c r="H248" s="325"/>
      <c r="I248" s="325"/>
      <c r="J248" s="325"/>
      <c r="K248" s="325"/>
      <c r="L248" s="325"/>
      <c r="M248" s="325"/>
      <c r="N248" s="325"/>
      <c r="O248" s="325"/>
      <c r="P248" s="325"/>
      <c r="Q248" s="325"/>
      <c r="R248" s="325"/>
      <c r="S248" s="325"/>
      <c r="T248" s="325"/>
      <c r="U248" s="325"/>
      <c r="V248" s="325"/>
      <c r="W248" s="325"/>
      <c r="X248" s="325"/>
      <c r="Y248" s="325"/>
      <c r="Z248" s="325"/>
      <c r="AA248" s="325"/>
      <c r="AB248" s="325"/>
      <c r="AC248" s="325"/>
    </row>
    <row r="249" spans="1:29" ht="12.75">
      <c r="A249" s="325"/>
      <c r="B249" s="398"/>
      <c r="C249" s="439" t="s">
        <v>310</v>
      </c>
      <c r="D249" s="437" t="s">
        <v>328</v>
      </c>
      <c r="E249" s="438">
        <v>3</v>
      </c>
      <c r="F249" s="397"/>
      <c r="G249" s="325"/>
      <c r="H249" s="325"/>
      <c r="I249" s="325"/>
      <c r="J249" s="325"/>
      <c r="K249" s="325"/>
      <c r="L249" s="325"/>
      <c r="M249" s="325"/>
      <c r="N249" s="325"/>
      <c r="O249" s="325"/>
      <c r="P249" s="325"/>
      <c r="Q249" s="325"/>
      <c r="R249" s="325"/>
      <c r="S249" s="325"/>
      <c r="T249" s="325"/>
      <c r="U249" s="325"/>
      <c r="V249" s="325"/>
      <c r="W249" s="325"/>
      <c r="X249" s="325"/>
      <c r="Y249" s="325"/>
      <c r="Z249" s="325"/>
      <c r="AA249" s="325"/>
      <c r="AB249" s="325"/>
      <c r="AC249" s="325"/>
    </row>
    <row r="250" spans="1:29" ht="12.75">
      <c r="A250" s="325"/>
      <c r="B250" s="398"/>
      <c r="C250" s="439" t="s">
        <v>311</v>
      </c>
      <c r="D250" s="437" t="s">
        <v>328</v>
      </c>
      <c r="E250" s="438">
        <v>1.5</v>
      </c>
      <c r="F250" s="397"/>
      <c r="G250" s="325"/>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row>
    <row r="251" spans="1:29" ht="13.5">
      <c r="A251" s="325"/>
      <c r="B251" s="398"/>
      <c r="C251" s="439" t="s">
        <v>312</v>
      </c>
      <c r="D251" s="437" t="s">
        <v>327</v>
      </c>
      <c r="E251" s="438">
        <v>3</v>
      </c>
      <c r="F251" s="397"/>
      <c r="G251" s="325"/>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row>
    <row r="252" spans="1:29" ht="14.25">
      <c r="A252" s="325"/>
      <c r="B252" s="398"/>
      <c r="C252" s="439" t="s">
        <v>313</v>
      </c>
      <c r="D252" s="437" t="s">
        <v>329</v>
      </c>
      <c r="E252" s="438">
        <v>1</v>
      </c>
      <c r="F252" s="397"/>
      <c r="G252" s="325"/>
      <c r="H252" s="325"/>
      <c r="I252" s="325"/>
      <c r="J252" s="325"/>
      <c r="K252" s="325"/>
      <c r="L252" s="325"/>
      <c r="M252" s="325"/>
      <c r="N252" s="325"/>
      <c r="O252" s="325"/>
      <c r="P252" s="325"/>
      <c r="Q252" s="325"/>
      <c r="R252" s="325"/>
      <c r="S252" s="325"/>
      <c r="T252" s="325"/>
      <c r="U252" s="325"/>
      <c r="V252" s="325"/>
      <c r="W252" s="325"/>
      <c r="X252" s="325"/>
      <c r="Y252" s="325"/>
      <c r="Z252" s="325"/>
      <c r="AA252" s="325"/>
      <c r="AB252" s="325"/>
      <c r="AC252" s="325"/>
    </row>
    <row r="253" spans="1:29" ht="15" thickBot="1">
      <c r="A253" s="325"/>
      <c r="B253" s="441"/>
      <c r="C253" s="442" t="s">
        <v>314</v>
      </c>
      <c r="D253" s="443" t="s">
        <v>330</v>
      </c>
      <c r="E253" s="444">
        <v>1</v>
      </c>
      <c r="F253" s="445"/>
      <c r="G253" s="325"/>
      <c r="H253" s="325"/>
      <c r="I253" s="325"/>
      <c r="J253" s="325"/>
      <c r="K253" s="325"/>
      <c r="L253" s="325"/>
      <c r="M253" s="325"/>
      <c r="N253" s="325"/>
      <c r="O253" s="325"/>
      <c r="P253" s="325"/>
      <c r="Q253" s="325"/>
      <c r="R253" s="325"/>
      <c r="S253" s="325"/>
      <c r="T253" s="325"/>
      <c r="U253" s="325"/>
      <c r="V253" s="325"/>
      <c r="W253" s="325"/>
      <c r="X253" s="325"/>
      <c r="Y253" s="325"/>
      <c r="Z253" s="325"/>
      <c r="AA253" s="325"/>
      <c r="AB253" s="325"/>
      <c r="AC253" s="325"/>
    </row>
    <row r="254" spans="1:29" ht="12.75" thickTop="1">
      <c r="A254" s="325"/>
      <c r="B254" s="446"/>
      <c r="C254" s="447"/>
      <c r="D254" s="447"/>
      <c r="E254" s="447"/>
      <c r="F254" s="447"/>
      <c r="G254" s="325"/>
      <c r="H254" s="325"/>
      <c r="I254" s="325"/>
      <c r="J254" s="325"/>
      <c r="K254" s="325"/>
      <c r="L254" s="325"/>
      <c r="M254" s="325"/>
      <c r="N254" s="325"/>
      <c r="O254" s="325"/>
      <c r="P254" s="325"/>
      <c r="Q254" s="325"/>
      <c r="R254" s="325"/>
      <c r="S254" s="325"/>
      <c r="T254" s="325"/>
      <c r="U254" s="325"/>
      <c r="V254" s="325"/>
      <c r="W254" s="325"/>
      <c r="X254" s="325"/>
      <c r="Y254" s="325"/>
      <c r="Z254" s="325"/>
      <c r="AA254" s="325"/>
      <c r="AB254" s="325"/>
      <c r="AC254" s="325"/>
    </row>
    <row r="255" spans="1:29" ht="12">
      <c r="A255" s="325"/>
      <c r="B255" s="446"/>
      <c r="C255" s="447" t="str">
        <f>CONCATENATE("Руководитель: _______________________ ",ВводДанных!N11)</f>
        <v>Руководитель: _______________________ Наумов И.В.</v>
      </c>
      <c r="D255" s="447"/>
      <c r="E255" s="448">
        <f ca="1">TODAY()</f>
        <v>40931</v>
      </c>
      <c r="F255" s="447"/>
      <c r="G255" s="325"/>
      <c r="H255" s="325"/>
      <c r="I255" s="325"/>
      <c r="J255" s="325"/>
      <c r="K255" s="325"/>
      <c r="L255" s="325"/>
      <c r="M255" s="325"/>
      <c r="N255" s="325"/>
      <c r="O255" s="325"/>
      <c r="P255" s="325"/>
      <c r="Q255" s="325"/>
      <c r="R255" s="325"/>
      <c r="S255" s="325"/>
      <c r="T255" s="325"/>
      <c r="U255" s="325"/>
      <c r="V255" s="325"/>
      <c r="W255" s="325"/>
      <c r="X255" s="325"/>
      <c r="Y255" s="325"/>
      <c r="Z255" s="325"/>
      <c r="AA255" s="325"/>
      <c r="AB255" s="325"/>
      <c r="AC255" s="325"/>
    </row>
    <row r="256" spans="1:29" ht="12">
      <c r="A256" s="325"/>
      <c r="B256" s="446"/>
      <c r="C256" s="447" t="str">
        <f>CONCATENATE("  Главный бухгалтер: __________________ ",ВводДанных!N12)</f>
        <v>  Главный бухгалтер: __________________ Королева И.В.</v>
      </c>
      <c r="D256" s="447"/>
      <c r="E256" s="447"/>
      <c r="F256" s="447"/>
      <c r="G256" s="325"/>
      <c r="H256" s="325"/>
      <c r="I256" s="325"/>
      <c r="J256" s="325"/>
      <c r="K256" s="325"/>
      <c r="L256" s="325"/>
      <c r="M256" s="325"/>
      <c r="N256" s="325"/>
      <c r="O256" s="325"/>
      <c r="P256" s="325"/>
      <c r="Q256" s="325"/>
      <c r="R256" s="325"/>
      <c r="S256" s="325"/>
      <c r="T256" s="325"/>
      <c r="U256" s="325"/>
      <c r="V256" s="325"/>
      <c r="W256" s="325"/>
      <c r="X256" s="325"/>
      <c r="Y256" s="325"/>
      <c r="Z256" s="325"/>
      <c r="AA256" s="325"/>
      <c r="AB256" s="325"/>
      <c r="AC256" s="325"/>
    </row>
    <row r="257" spans="1:29" ht="12">
      <c r="A257" s="325"/>
      <c r="B257" s="449"/>
      <c r="C257" s="325"/>
      <c r="D257" s="325"/>
      <c r="E257" s="325"/>
      <c r="F257" s="325"/>
      <c r="G257" s="325"/>
      <c r="H257" s="325"/>
      <c r="I257" s="325"/>
      <c r="J257" s="325"/>
      <c r="K257" s="325"/>
      <c r="L257" s="325"/>
      <c r="M257" s="325"/>
      <c r="N257" s="325"/>
      <c r="O257" s="325"/>
      <c r="P257" s="325"/>
      <c r="Q257" s="325"/>
      <c r="R257" s="325"/>
      <c r="S257" s="325"/>
      <c r="T257" s="325"/>
      <c r="U257" s="325"/>
      <c r="V257" s="325"/>
      <c r="W257" s="325"/>
      <c r="X257" s="325"/>
      <c r="Y257" s="325"/>
      <c r="Z257" s="325"/>
      <c r="AA257" s="325"/>
      <c r="AB257" s="325"/>
      <c r="AC257" s="325"/>
    </row>
    <row r="258" spans="1:29" ht="12">
      <c r="A258" s="325"/>
      <c r="B258" s="326"/>
      <c r="C258" s="325"/>
      <c r="D258" s="325"/>
      <c r="E258" s="325"/>
      <c r="F258" s="325"/>
      <c r="G258" s="325"/>
      <c r="H258" s="325"/>
      <c r="I258" s="325"/>
      <c r="J258" s="325"/>
      <c r="K258" s="325"/>
      <c r="L258" s="325"/>
      <c r="M258" s="325"/>
      <c r="N258" s="325"/>
      <c r="O258" s="325"/>
      <c r="P258" s="325"/>
      <c r="Q258" s="325"/>
      <c r="R258" s="325"/>
      <c r="S258" s="325"/>
      <c r="T258" s="325"/>
      <c r="U258" s="325"/>
      <c r="V258" s="325"/>
      <c r="W258" s="325"/>
      <c r="X258" s="325"/>
      <c r="Y258" s="325"/>
      <c r="Z258" s="325"/>
      <c r="AA258" s="325"/>
      <c r="AB258" s="325"/>
      <c r="AC258" s="325"/>
    </row>
    <row r="259" spans="1:29" ht="12">
      <c r="A259" s="325"/>
      <c r="B259" s="326"/>
      <c r="C259" s="325"/>
      <c r="D259" s="325"/>
      <c r="E259" s="325"/>
      <c r="F259" s="325"/>
      <c r="G259" s="325"/>
      <c r="H259" s="325"/>
      <c r="I259" s="325"/>
      <c r="J259" s="325"/>
      <c r="K259" s="325"/>
      <c r="L259" s="325"/>
      <c r="M259" s="325"/>
      <c r="N259" s="325"/>
      <c r="O259" s="325"/>
      <c r="P259" s="325"/>
      <c r="Q259" s="325"/>
      <c r="R259" s="325"/>
      <c r="S259" s="325"/>
      <c r="T259" s="325"/>
      <c r="U259" s="325"/>
      <c r="V259" s="325"/>
      <c r="W259" s="325"/>
      <c r="X259" s="325"/>
      <c r="Y259" s="325"/>
      <c r="Z259" s="325"/>
      <c r="AA259" s="325"/>
      <c r="AB259" s="325"/>
      <c r="AC259" s="325"/>
    </row>
    <row r="260" spans="1:29" ht="12">
      <c r="A260" s="325"/>
      <c r="B260" s="326"/>
      <c r="C260" s="325"/>
      <c r="D260" s="325"/>
      <c r="E260" s="325"/>
      <c r="F260" s="325"/>
      <c r="G260" s="325"/>
      <c r="H260" s="325"/>
      <c r="I260" s="325"/>
      <c r="J260" s="325"/>
      <c r="K260" s="325"/>
      <c r="L260" s="325"/>
      <c r="M260" s="325"/>
      <c r="N260" s="325"/>
      <c r="O260" s="325"/>
      <c r="P260" s="325"/>
      <c r="Q260" s="325"/>
      <c r="R260" s="325"/>
      <c r="S260" s="325"/>
      <c r="T260" s="325"/>
      <c r="U260" s="325"/>
      <c r="V260" s="325"/>
      <c r="W260" s="325"/>
      <c r="X260" s="325"/>
      <c r="Y260" s="325"/>
      <c r="Z260" s="325"/>
      <c r="AA260" s="325"/>
      <c r="AB260" s="325"/>
      <c r="AC260" s="325"/>
    </row>
    <row r="261" spans="1:29" ht="12">
      <c r="A261" s="325"/>
      <c r="B261" s="326"/>
      <c r="C261" s="325"/>
      <c r="D261" s="325"/>
      <c r="E261" s="325"/>
      <c r="F261" s="325"/>
      <c r="G261" s="325"/>
      <c r="H261" s="325"/>
      <c r="I261" s="325"/>
      <c r="J261" s="325"/>
      <c r="K261" s="325"/>
      <c r="L261" s="325"/>
      <c r="M261" s="325"/>
      <c r="N261" s="325"/>
      <c r="O261" s="325"/>
      <c r="P261" s="325"/>
      <c r="Q261" s="325"/>
      <c r="R261" s="325"/>
      <c r="S261" s="325"/>
      <c r="T261" s="325"/>
      <c r="U261" s="325"/>
      <c r="V261" s="325"/>
      <c r="W261" s="325"/>
      <c r="X261" s="325"/>
      <c r="Y261" s="325"/>
      <c r="Z261" s="325"/>
      <c r="AA261" s="325"/>
      <c r="AB261" s="325"/>
      <c r="AC261" s="325"/>
    </row>
    <row r="262" spans="1:29" ht="12">
      <c r="A262" s="325"/>
      <c r="B262" s="326"/>
      <c r="C262" s="325"/>
      <c r="D262" s="325"/>
      <c r="E262" s="325"/>
      <c r="F262" s="325"/>
      <c r="G262" s="325"/>
      <c r="H262" s="325"/>
      <c r="I262" s="325"/>
      <c r="J262" s="325"/>
      <c r="K262" s="325"/>
      <c r="L262" s="325"/>
      <c r="M262" s="325"/>
      <c r="N262" s="325"/>
      <c r="O262" s="325"/>
      <c r="P262" s="325"/>
      <c r="Q262" s="325"/>
      <c r="R262" s="325"/>
      <c r="S262" s="325"/>
      <c r="T262" s="325"/>
      <c r="U262" s="325"/>
      <c r="V262" s="325"/>
      <c r="W262" s="325"/>
      <c r="X262" s="325"/>
      <c r="Y262" s="325"/>
      <c r="Z262" s="325"/>
      <c r="AA262" s="325"/>
      <c r="AB262" s="325"/>
      <c r="AC262" s="325"/>
    </row>
    <row r="263" spans="1:29" ht="12">
      <c r="A263" s="325"/>
      <c r="B263" s="326"/>
      <c r="C263" s="325"/>
      <c r="D263" s="325"/>
      <c r="E263" s="325"/>
      <c r="F263" s="325"/>
      <c r="G263" s="325"/>
      <c r="H263" s="325"/>
      <c r="I263" s="325"/>
      <c r="J263" s="325"/>
      <c r="K263" s="325"/>
      <c r="L263" s="325"/>
      <c r="M263" s="325"/>
      <c r="N263" s="325"/>
      <c r="O263" s="325"/>
      <c r="P263" s="325"/>
      <c r="Q263" s="325"/>
      <c r="R263" s="325"/>
      <c r="S263" s="325"/>
      <c r="T263" s="325"/>
      <c r="U263" s="325"/>
      <c r="V263" s="325"/>
      <c r="W263" s="325"/>
      <c r="X263" s="325"/>
      <c r="Y263" s="325"/>
      <c r="Z263" s="325"/>
      <c r="AA263" s="325"/>
      <c r="AB263" s="325"/>
      <c r="AC263" s="325"/>
    </row>
    <row r="264" spans="1:29" ht="12">
      <c r="A264" s="325"/>
      <c r="B264" s="326"/>
      <c r="C264" s="325"/>
      <c r="D264" s="325"/>
      <c r="E264" s="325"/>
      <c r="F264" s="325"/>
      <c r="G264" s="325"/>
      <c r="H264" s="325"/>
      <c r="I264" s="325"/>
      <c r="J264" s="325"/>
      <c r="K264" s="325"/>
      <c r="L264" s="325"/>
      <c r="M264" s="325"/>
      <c r="N264" s="325"/>
      <c r="O264" s="325"/>
      <c r="P264" s="325"/>
      <c r="Q264" s="325"/>
      <c r="R264" s="325"/>
      <c r="S264" s="325"/>
      <c r="T264" s="325"/>
      <c r="U264" s="325"/>
      <c r="V264" s="325"/>
      <c r="W264" s="325"/>
      <c r="X264" s="325"/>
      <c r="Y264" s="325"/>
      <c r="Z264" s="325"/>
      <c r="AA264" s="325"/>
      <c r="AB264" s="325"/>
      <c r="AC264" s="325"/>
    </row>
    <row r="265" spans="1:29" ht="12">
      <c r="A265" s="325"/>
      <c r="B265" s="326"/>
      <c r="C265" s="325"/>
      <c r="D265" s="325"/>
      <c r="E265" s="325"/>
      <c r="F265" s="325"/>
      <c r="G265" s="325"/>
      <c r="H265" s="325"/>
      <c r="I265" s="325"/>
      <c r="J265" s="325"/>
      <c r="K265" s="325"/>
      <c r="L265" s="325"/>
      <c r="M265" s="325"/>
      <c r="N265" s="325"/>
      <c r="O265" s="325"/>
      <c r="P265" s="325"/>
      <c r="Q265" s="325"/>
      <c r="R265" s="325"/>
      <c r="S265" s="325"/>
      <c r="T265" s="325"/>
      <c r="U265" s="325"/>
      <c r="V265" s="325"/>
      <c r="W265" s="325"/>
      <c r="X265" s="325"/>
      <c r="Y265" s="325"/>
      <c r="Z265" s="325"/>
      <c r="AA265" s="325"/>
      <c r="AB265" s="325"/>
      <c r="AC265" s="325"/>
    </row>
    <row r="266" spans="1:29" ht="12">
      <c r="A266" s="325"/>
      <c r="B266" s="326"/>
      <c r="C266" s="325"/>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row>
    <row r="267" spans="1:29" ht="12">
      <c r="A267" s="325"/>
      <c r="B267" s="326"/>
      <c r="C267" s="325"/>
      <c r="D267" s="325"/>
      <c r="E267" s="325"/>
      <c r="F267" s="325"/>
      <c r="G267" s="325"/>
      <c r="H267" s="325"/>
      <c r="I267" s="325"/>
      <c r="J267" s="325"/>
      <c r="K267" s="325"/>
      <c r="L267" s="325"/>
      <c r="M267" s="325"/>
      <c r="N267" s="325"/>
      <c r="O267" s="325"/>
      <c r="P267" s="325"/>
      <c r="Q267" s="325"/>
      <c r="R267" s="325"/>
      <c r="S267" s="325"/>
      <c r="T267" s="325"/>
      <c r="U267" s="325"/>
      <c r="V267" s="325"/>
      <c r="W267" s="325"/>
      <c r="X267" s="325"/>
      <c r="Y267" s="325"/>
      <c r="Z267" s="325"/>
      <c r="AA267" s="325"/>
      <c r="AB267" s="325"/>
      <c r="AC267" s="325"/>
    </row>
    <row r="268" spans="1:29" ht="12">
      <c r="A268" s="325"/>
      <c r="B268" s="326"/>
      <c r="C268" s="325"/>
      <c r="D268" s="325"/>
      <c r="E268" s="325"/>
      <c r="F268" s="325"/>
      <c r="G268" s="325"/>
      <c r="H268" s="325"/>
      <c r="I268" s="325"/>
      <c r="J268" s="325"/>
      <c r="K268" s="325"/>
      <c r="L268" s="325"/>
      <c r="M268" s="325"/>
      <c r="N268" s="325"/>
      <c r="O268" s="325"/>
      <c r="P268" s="325"/>
      <c r="Q268" s="325"/>
      <c r="R268" s="325"/>
      <c r="S268" s="325"/>
      <c r="T268" s="325"/>
      <c r="U268" s="325"/>
      <c r="V268" s="325"/>
      <c r="W268" s="325"/>
      <c r="X268" s="325"/>
      <c r="Y268" s="325"/>
      <c r="Z268" s="325"/>
      <c r="AA268" s="325"/>
      <c r="AB268" s="325"/>
      <c r="AC268" s="325"/>
    </row>
    <row r="269" spans="1:29" ht="12">
      <c r="A269" s="325"/>
      <c r="B269" s="326"/>
      <c r="C269" s="325"/>
      <c r="D269" s="325"/>
      <c r="E269" s="325"/>
      <c r="F269" s="325"/>
      <c r="G269" s="325"/>
      <c r="H269" s="325"/>
      <c r="I269" s="325"/>
      <c r="J269" s="325"/>
      <c r="K269" s="325"/>
      <c r="L269" s="325"/>
      <c r="M269" s="325"/>
      <c r="N269" s="325"/>
      <c r="O269" s="325"/>
      <c r="P269" s="325"/>
      <c r="Q269" s="325"/>
      <c r="R269" s="325"/>
      <c r="S269" s="325"/>
      <c r="T269" s="325"/>
      <c r="U269" s="325"/>
      <c r="V269" s="325"/>
      <c r="W269" s="325"/>
      <c r="X269" s="325"/>
      <c r="Y269" s="325"/>
      <c r="Z269" s="325"/>
      <c r="AA269" s="325"/>
      <c r="AB269" s="325"/>
      <c r="AC269" s="325"/>
    </row>
    <row r="270" spans="1:29" ht="12">
      <c r="A270" s="325"/>
      <c r="B270" s="326"/>
      <c r="C270" s="325"/>
      <c r="D270" s="325"/>
      <c r="E270" s="325"/>
      <c r="F270" s="325"/>
      <c r="G270" s="325"/>
      <c r="H270" s="325"/>
      <c r="I270" s="325"/>
      <c r="J270" s="325"/>
      <c r="K270" s="325"/>
      <c r="L270" s="325"/>
      <c r="M270" s="325"/>
      <c r="N270" s="325"/>
      <c r="O270" s="325"/>
      <c r="P270" s="325"/>
      <c r="Q270" s="325"/>
      <c r="R270" s="325"/>
      <c r="S270" s="325"/>
      <c r="T270" s="325"/>
      <c r="U270" s="325"/>
      <c r="V270" s="325"/>
      <c r="W270" s="325"/>
      <c r="X270" s="325"/>
      <c r="Y270" s="325"/>
      <c r="Z270" s="325"/>
      <c r="AA270" s="325"/>
      <c r="AB270" s="325"/>
      <c r="AC270" s="325"/>
    </row>
    <row r="271" spans="1:29" ht="12">
      <c r="A271" s="325"/>
      <c r="B271" s="326"/>
      <c r="C271" s="325"/>
      <c r="D271" s="325"/>
      <c r="E271" s="325"/>
      <c r="F271" s="325"/>
      <c r="G271" s="325"/>
      <c r="H271" s="325"/>
      <c r="I271" s="325"/>
      <c r="J271" s="325"/>
      <c r="K271" s="325"/>
      <c r="L271" s="325"/>
      <c r="M271" s="325"/>
      <c r="N271" s="325"/>
      <c r="O271" s="325"/>
      <c r="P271" s="325"/>
      <c r="Q271" s="325"/>
      <c r="R271" s="325"/>
      <c r="S271" s="325"/>
      <c r="T271" s="325"/>
      <c r="U271" s="325"/>
      <c r="V271" s="325"/>
      <c r="W271" s="325"/>
      <c r="X271" s="325"/>
      <c r="Y271" s="325"/>
      <c r="Z271" s="325"/>
      <c r="AA271" s="325"/>
      <c r="AB271" s="325"/>
      <c r="AC271" s="325"/>
    </row>
    <row r="272" spans="1:29" ht="12">
      <c r="A272" s="325"/>
      <c r="B272" s="326"/>
      <c r="C272" s="325"/>
      <c r="D272" s="325"/>
      <c r="E272" s="325"/>
      <c r="F272" s="325"/>
      <c r="G272" s="325"/>
      <c r="H272" s="325"/>
      <c r="I272" s="325"/>
      <c r="J272" s="325"/>
      <c r="K272" s="325"/>
      <c r="L272" s="325"/>
      <c r="M272" s="325"/>
      <c r="N272" s="325"/>
      <c r="O272" s="325"/>
      <c r="P272" s="325"/>
      <c r="Q272" s="325"/>
      <c r="R272" s="325"/>
      <c r="S272" s="325"/>
      <c r="T272" s="325"/>
      <c r="U272" s="325"/>
      <c r="V272" s="325"/>
      <c r="W272" s="325"/>
      <c r="X272" s="325"/>
      <c r="Y272" s="325"/>
      <c r="Z272" s="325"/>
      <c r="AA272" s="325"/>
      <c r="AB272" s="325"/>
      <c r="AC272" s="325"/>
    </row>
    <row r="273" spans="1:29" ht="12">
      <c r="A273" s="325"/>
      <c r="B273" s="326"/>
      <c r="C273" s="325"/>
      <c r="D273" s="325"/>
      <c r="E273" s="325"/>
      <c r="F273" s="325"/>
      <c r="G273" s="325"/>
      <c r="H273" s="325"/>
      <c r="I273" s="325"/>
      <c r="J273" s="325"/>
      <c r="K273" s="325"/>
      <c r="L273" s="325"/>
      <c r="M273" s="325"/>
      <c r="N273" s="325"/>
      <c r="O273" s="325"/>
      <c r="P273" s="325"/>
      <c r="Q273" s="325"/>
      <c r="R273" s="325"/>
      <c r="S273" s="325"/>
      <c r="T273" s="325"/>
      <c r="U273" s="325"/>
      <c r="V273" s="325"/>
      <c r="W273" s="325"/>
      <c r="X273" s="325"/>
      <c r="Y273" s="325"/>
      <c r="Z273" s="325"/>
      <c r="AA273" s="325"/>
      <c r="AB273" s="325"/>
      <c r="AC273" s="325"/>
    </row>
    <row r="274" spans="1:29" ht="12">
      <c r="A274" s="325"/>
      <c r="B274" s="326"/>
      <c r="C274" s="325"/>
      <c r="D274" s="325"/>
      <c r="E274" s="325"/>
      <c r="F274" s="325"/>
      <c r="G274" s="325"/>
      <c r="H274" s="325"/>
      <c r="I274" s="325"/>
      <c r="J274" s="325"/>
      <c r="K274" s="325"/>
      <c r="L274" s="325"/>
      <c r="M274" s="325"/>
      <c r="N274" s="325"/>
      <c r="O274" s="325"/>
      <c r="P274" s="325"/>
      <c r="Q274" s="325"/>
      <c r="R274" s="325"/>
      <c r="S274" s="325"/>
      <c r="T274" s="325"/>
      <c r="U274" s="325"/>
      <c r="V274" s="325"/>
      <c r="W274" s="325"/>
      <c r="X274" s="325"/>
      <c r="Y274" s="325"/>
      <c r="Z274" s="325"/>
      <c r="AA274" s="325"/>
      <c r="AB274" s="325"/>
      <c r="AC274" s="325"/>
    </row>
    <row r="275" spans="1:29" ht="12">
      <c r="A275" s="325"/>
      <c r="B275" s="326"/>
      <c r="C275" s="325"/>
      <c r="D275" s="325"/>
      <c r="E275" s="325"/>
      <c r="F275" s="325"/>
      <c r="G275" s="325"/>
      <c r="H275" s="325"/>
      <c r="I275" s="325"/>
      <c r="J275" s="325"/>
      <c r="K275" s="325"/>
      <c r="L275" s="325"/>
      <c r="M275" s="325"/>
      <c r="N275" s="325"/>
      <c r="O275" s="325"/>
      <c r="P275" s="325"/>
      <c r="Q275" s="325"/>
      <c r="R275" s="325"/>
      <c r="S275" s="325"/>
      <c r="T275" s="325"/>
      <c r="U275" s="325"/>
      <c r="V275" s="325"/>
      <c r="W275" s="325"/>
      <c r="X275" s="325"/>
      <c r="Y275" s="325"/>
      <c r="Z275" s="325"/>
      <c r="AA275" s="325"/>
      <c r="AB275" s="325"/>
      <c r="AC275" s="325"/>
    </row>
    <row r="276" spans="1:29" ht="12">
      <c r="A276" s="325"/>
      <c r="B276" s="326"/>
      <c r="C276" s="325"/>
      <c r="D276" s="325"/>
      <c r="E276" s="325"/>
      <c r="F276" s="325"/>
      <c r="G276" s="325"/>
      <c r="H276" s="325"/>
      <c r="I276" s="325"/>
      <c r="J276" s="325"/>
      <c r="K276" s="325"/>
      <c r="L276" s="325"/>
      <c r="M276" s="325"/>
      <c r="N276" s="325"/>
      <c r="O276" s="325"/>
      <c r="P276" s="325"/>
      <c r="Q276" s="325"/>
      <c r="R276" s="325"/>
      <c r="S276" s="325"/>
      <c r="T276" s="325"/>
      <c r="U276" s="325"/>
      <c r="V276" s="325"/>
      <c r="W276" s="325"/>
      <c r="X276" s="325"/>
      <c r="Y276" s="325"/>
      <c r="Z276" s="325"/>
      <c r="AA276" s="325"/>
      <c r="AB276" s="325"/>
      <c r="AC276" s="325"/>
    </row>
    <row r="277" spans="1:29" ht="12">
      <c r="A277" s="325"/>
      <c r="B277" s="326"/>
      <c r="C277" s="325"/>
      <c r="D277" s="325"/>
      <c r="E277" s="325"/>
      <c r="F277" s="325"/>
      <c r="G277" s="325"/>
      <c r="H277" s="325"/>
      <c r="I277" s="325"/>
      <c r="J277" s="325"/>
      <c r="K277" s="325"/>
      <c r="L277" s="325"/>
      <c r="M277" s="325"/>
      <c r="N277" s="325"/>
      <c r="O277" s="325"/>
      <c r="P277" s="325"/>
      <c r="Q277" s="325"/>
      <c r="R277" s="325"/>
      <c r="S277" s="325"/>
      <c r="T277" s="325"/>
      <c r="U277" s="325"/>
      <c r="V277" s="325"/>
      <c r="W277" s="325"/>
      <c r="X277" s="325"/>
      <c r="Y277" s="325"/>
      <c r="Z277" s="325"/>
      <c r="AA277" s="325"/>
      <c r="AB277" s="325"/>
      <c r="AC277" s="325"/>
    </row>
    <row r="278" spans="1:29" ht="12">
      <c r="A278" s="325"/>
      <c r="B278" s="326"/>
      <c r="C278" s="325"/>
      <c r="D278" s="325"/>
      <c r="E278" s="325"/>
      <c r="F278" s="325"/>
      <c r="G278" s="325"/>
      <c r="H278" s="325"/>
      <c r="I278" s="325"/>
      <c r="J278" s="325"/>
      <c r="K278" s="325"/>
      <c r="L278" s="325"/>
      <c r="M278" s="325"/>
      <c r="N278" s="325"/>
      <c r="O278" s="325"/>
      <c r="P278" s="325"/>
      <c r="Q278" s="325"/>
      <c r="R278" s="325"/>
      <c r="S278" s="325"/>
      <c r="T278" s="325"/>
      <c r="U278" s="325"/>
      <c r="V278" s="325"/>
      <c r="W278" s="325"/>
      <c r="X278" s="325"/>
      <c r="Y278" s="325"/>
      <c r="Z278" s="325"/>
      <c r="AA278" s="325"/>
      <c r="AB278" s="325"/>
      <c r="AC278" s="325"/>
    </row>
    <row r="279" spans="1:29" ht="12">
      <c r="A279" s="325"/>
      <c r="B279" s="326"/>
      <c r="C279" s="325"/>
      <c r="D279" s="325"/>
      <c r="E279" s="325"/>
      <c r="F279" s="325"/>
      <c r="G279" s="325"/>
      <c r="H279" s="325"/>
      <c r="I279" s="325"/>
      <c r="J279" s="325"/>
      <c r="K279" s="325"/>
      <c r="L279" s="325"/>
      <c r="M279" s="325"/>
      <c r="N279" s="325"/>
      <c r="O279" s="325"/>
      <c r="P279" s="325"/>
      <c r="Q279" s="325"/>
      <c r="R279" s="325"/>
      <c r="S279" s="325"/>
      <c r="T279" s="325"/>
      <c r="U279" s="325"/>
      <c r="V279" s="325"/>
      <c r="W279" s="325"/>
      <c r="X279" s="325"/>
      <c r="Y279" s="325"/>
      <c r="Z279" s="325"/>
      <c r="AA279" s="325"/>
      <c r="AB279" s="325"/>
      <c r="AC279" s="325"/>
    </row>
    <row r="280" spans="1:29" ht="12">
      <c r="A280" s="325"/>
      <c r="B280" s="326"/>
      <c r="C280" s="325"/>
      <c r="D280" s="325"/>
      <c r="E280" s="325"/>
      <c r="F280" s="325"/>
      <c r="G280" s="325"/>
      <c r="H280" s="325"/>
      <c r="I280" s="325"/>
      <c r="J280" s="325"/>
      <c r="K280" s="325"/>
      <c r="L280" s="325"/>
      <c r="M280" s="325"/>
      <c r="N280" s="325"/>
      <c r="O280" s="325"/>
      <c r="P280" s="325"/>
      <c r="Q280" s="325"/>
      <c r="R280" s="325"/>
      <c r="S280" s="325"/>
      <c r="T280" s="325"/>
      <c r="U280" s="325"/>
      <c r="V280" s="325"/>
      <c r="W280" s="325"/>
      <c r="X280" s="325"/>
      <c r="Y280" s="325"/>
      <c r="Z280" s="325"/>
      <c r="AA280" s="325"/>
      <c r="AB280" s="325"/>
      <c r="AC280" s="325"/>
    </row>
    <row r="281" spans="1:29" ht="12">
      <c r="A281" s="325"/>
      <c r="B281" s="326"/>
      <c r="C281" s="325"/>
      <c r="D281" s="325"/>
      <c r="E281" s="325"/>
      <c r="F281" s="325"/>
      <c r="G281" s="325"/>
      <c r="H281" s="325"/>
      <c r="I281" s="325"/>
      <c r="J281" s="325"/>
      <c r="K281" s="325"/>
      <c r="L281" s="325"/>
      <c r="M281" s="325"/>
      <c r="N281" s="325"/>
      <c r="O281" s="325"/>
      <c r="P281" s="325"/>
      <c r="Q281" s="325"/>
      <c r="R281" s="325"/>
      <c r="S281" s="325"/>
      <c r="T281" s="325"/>
      <c r="U281" s="325"/>
      <c r="V281" s="325"/>
      <c r="W281" s="325"/>
      <c r="X281" s="325"/>
      <c r="Y281" s="325"/>
      <c r="Z281" s="325"/>
      <c r="AA281" s="325"/>
      <c r="AB281" s="325"/>
      <c r="AC281" s="325"/>
    </row>
    <row r="282" spans="1:29" ht="12">
      <c r="A282" s="325"/>
      <c r="B282" s="326"/>
      <c r="C282" s="325"/>
      <c r="D282" s="325"/>
      <c r="E282" s="325"/>
      <c r="F282" s="325"/>
      <c r="G282" s="325"/>
      <c r="H282" s="325"/>
      <c r="I282" s="325"/>
      <c r="J282" s="325"/>
      <c r="K282" s="325"/>
      <c r="L282" s="325"/>
      <c r="M282" s="325"/>
      <c r="N282" s="325"/>
      <c r="O282" s="325"/>
      <c r="P282" s="325"/>
      <c r="Q282" s="325"/>
      <c r="R282" s="325"/>
      <c r="S282" s="325"/>
      <c r="T282" s="325"/>
      <c r="U282" s="325"/>
      <c r="V282" s="325"/>
      <c r="W282" s="325"/>
      <c r="X282" s="325"/>
      <c r="Y282" s="325"/>
      <c r="Z282" s="325"/>
      <c r="AA282" s="325"/>
      <c r="AB282" s="325"/>
      <c r="AC282" s="325"/>
    </row>
    <row r="283" spans="1:29" ht="12">
      <c r="A283" s="325"/>
      <c r="B283" s="326"/>
      <c r="C283" s="325"/>
      <c r="D283" s="325"/>
      <c r="E283" s="325"/>
      <c r="F283" s="325"/>
      <c r="G283" s="325"/>
      <c r="H283" s="325"/>
      <c r="I283" s="325"/>
      <c r="J283" s="325"/>
      <c r="K283" s="325"/>
      <c r="L283" s="325"/>
      <c r="M283" s="325"/>
      <c r="N283" s="325"/>
      <c r="O283" s="325"/>
      <c r="P283" s="325"/>
      <c r="Q283" s="325"/>
      <c r="R283" s="325"/>
      <c r="S283" s="325"/>
      <c r="T283" s="325"/>
      <c r="U283" s="325"/>
      <c r="V283" s="325"/>
      <c r="W283" s="325"/>
      <c r="X283" s="325"/>
      <c r="Y283" s="325"/>
      <c r="Z283" s="325"/>
      <c r="AA283" s="325"/>
      <c r="AB283" s="325"/>
      <c r="AC283" s="325"/>
    </row>
    <row r="284" spans="1:29" ht="12">
      <c r="A284" s="325"/>
      <c r="B284" s="326"/>
      <c r="C284" s="325"/>
      <c r="D284" s="325"/>
      <c r="E284" s="325"/>
      <c r="F284" s="325"/>
      <c r="G284" s="325"/>
      <c r="H284" s="325"/>
      <c r="I284" s="325"/>
      <c r="J284" s="325"/>
      <c r="K284" s="325"/>
      <c r="L284" s="325"/>
      <c r="M284" s="325"/>
      <c r="N284" s="325"/>
      <c r="O284" s="325"/>
      <c r="P284" s="325"/>
      <c r="Q284" s="325"/>
      <c r="R284" s="325"/>
      <c r="S284" s="325"/>
      <c r="T284" s="325"/>
      <c r="U284" s="325"/>
      <c r="V284" s="325"/>
      <c r="W284" s="325"/>
      <c r="X284" s="325"/>
      <c r="Y284" s="325"/>
      <c r="Z284" s="325"/>
      <c r="AA284" s="325"/>
      <c r="AB284" s="325"/>
      <c r="AC284" s="325"/>
    </row>
    <row r="285" spans="1:29" ht="12">
      <c r="A285" s="325"/>
      <c r="B285" s="326"/>
      <c r="C285" s="325"/>
      <c r="D285" s="325"/>
      <c r="E285" s="325"/>
      <c r="F285" s="325"/>
      <c r="G285" s="325"/>
      <c r="H285" s="325"/>
      <c r="I285" s="325"/>
      <c r="J285" s="325"/>
      <c r="K285" s="325"/>
      <c r="L285" s="325"/>
      <c r="M285" s="325"/>
      <c r="N285" s="325"/>
      <c r="O285" s="325"/>
      <c r="P285" s="325"/>
      <c r="Q285" s="325"/>
      <c r="R285" s="325"/>
      <c r="S285" s="325"/>
      <c r="T285" s="325"/>
      <c r="U285" s="325"/>
      <c r="V285" s="325"/>
      <c r="W285" s="325"/>
      <c r="X285" s="325"/>
      <c r="Y285" s="325"/>
      <c r="Z285" s="325"/>
      <c r="AA285" s="325"/>
      <c r="AB285" s="325"/>
      <c r="AC285" s="325"/>
    </row>
    <row r="286" spans="1:29" ht="12">
      <c r="A286" s="325"/>
      <c r="B286" s="326"/>
      <c r="C286" s="325"/>
      <c r="D286" s="325"/>
      <c r="E286" s="325"/>
      <c r="F286" s="325"/>
      <c r="G286" s="325"/>
      <c r="H286" s="325"/>
      <c r="I286" s="325"/>
      <c r="J286" s="325"/>
      <c r="K286" s="325"/>
      <c r="L286" s="325"/>
      <c r="M286" s="325"/>
      <c r="N286" s="325"/>
      <c r="O286" s="325"/>
      <c r="P286" s="325"/>
      <c r="Q286" s="325"/>
      <c r="R286" s="325"/>
      <c r="S286" s="325"/>
      <c r="T286" s="325"/>
      <c r="U286" s="325"/>
      <c r="V286" s="325"/>
      <c r="W286" s="325"/>
      <c r="X286" s="325"/>
      <c r="Y286" s="325"/>
      <c r="Z286" s="325"/>
      <c r="AA286" s="325"/>
      <c r="AB286" s="325"/>
      <c r="AC286" s="325"/>
    </row>
  </sheetData>
  <sheetProtection selectLockedCells="1"/>
  <mergeCells count="49">
    <mergeCell ref="C120:D120"/>
    <mergeCell ref="C116:D116"/>
    <mergeCell ref="C117:D117"/>
    <mergeCell ref="C118:D118"/>
    <mergeCell ref="B39:F39"/>
    <mergeCell ref="B61:F61"/>
    <mergeCell ref="C112:D112"/>
    <mergeCell ref="C113:D113"/>
    <mergeCell ref="C102:D102"/>
    <mergeCell ref="C103:D103"/>
    <mergeCell ref="C104:D104"/>
    <mergeCell ref="C105:D105"/>
    <mergeCell ref="C98:D98"/>
    <mergeCell ref="C99:D99"/>
    <mergeCell ref="C219:D219"/>
    <mergeCell ref="C140:D140"/>
    <mergeCell ref="C136:D136"/>
    <mergeCell ref="C137:D137"/>
    <mergeCell ref="C138:D138"/>
    <mergeCell ref="C139:D139"/>
    <mergeCell ref="B197:F197"/>
    <mergeCell ref="B198:F198"/>
    <mergeCell ref="C121:D121"/>
    <mergeCell ref="C114:D114"/>
    <mergeCell ref="C115:D115"/>
    <mergeCell ref="C110:D110"/>
    <mergeCell ref="C111:D111"/>
    <mergeCell ref="C106:D106"/>
    <mergeCell ref="C107:D107"/>
    <mergeCell ref="C108:D108"/>
    <mergeCell ref="C109:D109"/>
    <mergeCell ref="C119:D119"/>
    <mergeCell ref="C90:D90"/>
    <mergeCell ref="C91:D91"/>
    <mergeCell ref="C92:D92"/>
    <mergeCell ref="C93:D93"/>
    <mergeCell ref="C100:D100"/>
    <mergeCell ref="C101:D101"/>
    <mergeCell ref="C94:D94"/>
    <mergeCell ref="C95:D95"/>
    <mergeCell ref="C96:D96"/>
    <mergeCell ref="C97:D97"/>
    <mergeCell ref="C87:D87"/>
    <mergeCell ref="C88:D88"/>
    <mergeCell ref="C89:D89"/>
    <mergeCell ref="C83:D83"/>
    <mergeCell ref="C84:D84"/>
    <mergeCell ref="C85:D85"/>
    <mergeCell ref="C86:D86"/>
  </mergeCells>
  <printOptions/>
  <pageMargins left="0.78" right="0.42" top="0.74" bottom="0.34" header="0.5" footer="0.38"/>
  <pageSetup horizontalDpi="120" verticalDpi="120" orientation="portrait" paperSize="9" scale="102" r:id="rId4"/>
  <headerFooter alignWithMargins="0">
    <oddHeader>&amp;CСтраница &amp;P из &amp;N</oddHeader>
  </headerFooter>
  <rowBreaks count="2" manualBreakCount="2">
    <brk id="140" min="1" max="5" man="1"/>
    <brk id="200" min="1" max="5" man="1"/>
  </rowBreaks>
  <drawing r:id="rId3"/>
  <legacyDrawing r:id="rId2"/>
</worksheet>
</file>

<file path=xl/worksheets/sheet3.xml><?xml version="1.0" encoding="utf-8"?>
<worksheet xmlns="http://schemas.openxmlformats.org/spreadsheetml/2006/main" xmlns:r="http://schemas.openxmlformats.org/officeDocument/2006/relationships">
  <dimension ref="B6:N83"/>
  <sheetViews>
    <sheetView showGridLines="0" showRowColHeaders="0" showZeros="0" zoomScalePageLayoutView="0" workbookViewId="0" topLeftCell="A1">
      <selection activeCell="A1" sqref="A1"/>
    </sheetView>
  </sheetViews>
  <sheetFormatPr defaultColWidth="9.00390625" defaultRowHeight="12"/>
  <cols>
    <col min="1" max="1" width="2.625" style="0" customWidth="1"/>
    <col min="2" max="2" width="4.875" style="0" customWidth="1"/>
    <col min="3" max="3" width="39.75390625" style="0" customWidth="1"/>
    <col min="4" max="4" width="58.25390625" style="0" customWidth="1"/>
    <col min="5" max="5" width="38.75390625" style="0" customWidth="1"/>
    <col min="6" max="8" width="7.625" style="0" customWidth="1"/>
    <col min="9" max="11" width="7.625" style="186" customWidth="1"/>
    <col min="12" max="13" width="7.625" style="0" customWidth="1"/>
    <col min="14" max="14" width="67.25390625" style="0" customWidth="1"/>
  </cols>
  <sheetData>
    <row r="6" ht="12">
      <c r="C6" t="s">
        <v>91</v>
      </c>
    </row>
    <row r="7" spans="2:14" ht="12">
      <c r="B7" s="187"/>
      <c r="C7" s="187"/>
      <c r="D7" s="188" t="s">
        <v>13</v>
      </c>
      <c r="E7" s="10"/>
      <c r="F7" s="13" t="s">
        <v>15</v>
      </c>
      <c r="G7" s="14"/>
      <c r="H7" s="14"/>
      <c r="I7" s="189"/>
      <c r="J7" s="189"/>
      <c r="K7" s="190"/>
      <c r="L7" s="188" t="s">
        <v>16</v>
      </c>
      <c r="M7" s="10"/>
      <c r="N7" s="201"/>
    </row>
    <row r="8" spans="2:14" ht="12">
      <c r="B8" s="191" t="s">
        <v>129</v>
      </c>
      <c r="C8" s="191" t="s">
        <v>131</v>
      </c>
      <c r="D8" s="192" t="s">
        <v>14</v>
      </c>
      <c r="E8" s="12"/>
      <c r="F8" s="13" t="s">
        <v>717</v>
      </c>
      <c r="G8" s="14"/>
      <c r="H8" s="15"/>
      <c r="I8" s="13" t="s">
        <v>718</v>
      </c>
      <c r="J8" s="14"/>
      <c r="K8" s="15"/>
      <c r="L8" s="192" t="s">
        <v>17</v>
      </c>
      <c r="M8" s="12"/>
      <c r="N8" s="191" t="s">
        <v>34</v>
      </c>
    </row>
    <row r="9" spans="2:14" ht="12">
      <c r="B9" s="193" t="s">
        <v>130</v>
      </c>
      <c r="C9" s="193" t="s">
        <v>132</v>
      </c>
      <c r="D9" s="194" t="s">
        <v>717</v>
      </c>
      <c r="E9" s="1" t="s">
        <v>718</v>
      </c>
      <c r="F9" s="1" t="s">
        <v>790</v>
      </c>
      <c r="G9" s="1" t="s">
        <v>791</v>
      </c>
      <c r="H9" s="1" t="s">
        <v>792</v>
      </c>
      <c r="I9" s="1" t="s">
        <v>790</v>
      </c>
      <c r="J9" s="1" t="s">
        <v>791</v>
      </c>
      <c r="K9" s="1" t="s">
        <v>792</v>
      </c>
      <c r="L9" s="1" t="s">
        <v>790</v>
      </c>
      <c r="M9" s="1" t="s">
        <v>791</v>
      </c>
      <c r="N9" s="193"/>
    </row>
    <row r="10" spans="2:14" ht="12.75" thickBot="1">
      <c r="B10" s="201">
        <v>1</v>
      </c>
      <c r="C10" s="201">
        <v>2</v>
      </c>
      <c r="D10" s="201">
        <v>3</v>
      </c>
      <c r="E10" s="201">
        <v>4</v>
      </c>
      <c r="F10" s="201">
        <v>5</v>
      </c>
      <c r="G10" s="201">
        <v>6</v>
      </c>
      <c r="H10" s="201">
        <v>7</v>
      </c>
      <c r="I10" s="201">
        <v>8</v>
      </c>
      <c r="J10" s="201">
        <v>9</v>
      </c>
      <c r="K10" s="201">
        <v>10</v>
      </c>
      <c r="L10" s="201">
        <v>11</v>
      </c>
      <c r="M10" s="201">
        <v>12</v>
      </c>
      <c r="N10" s="1">
        <v>13</v>
      </c>
    </row>
    <row r="11" spans="2:14" ht="12">
      <c r="B11" s="202">
        <v>1</v>
      </c>
      <c r="C11" s="203" t="s">
        <v>705</v>
      </c>
      <c r="D11" s="204" t="s">
        <v>719</v>
      </c>
      <c r="E11" s="205" t="s">
        <v>369</v>
      </c>
      <c r="F11" s="206">
        <f>ВводДанных!V51-ВводДанных!V62-ВводДанных!V64-ВводДанных!V47-ВводДанных!V45</f>
        <v>167877</v>
      </c>
      <c r="G11" s="207">
        <f>ВводДанных!X51-ВводДанных!X62-ВводДанных!X64-ВводДанных!X47-ВводДанных!X45</f>
        <v>98227</v>
      </c>
      <c r="H11" s="208">
        <f>IF(F11&gt;0,AVERAGE(F11,G11),0)</f>
        <v>133052</v>
      </c>
      <c r="I11" s="209" t="s">
        <v>369</v>
      </c>
      <c r="J11" s="210" t="s">
        <v>369</v>
      </c>
      <c r="K11" s="211" t="s">
        <v>369</v>
      </c>
      <c r="L11" s="209">
        <f>F11</f>
        <v>167877</v>
      </c>
      <c r="M11" s="256">
        <f>G11</f>
        <v>98227</v>
      </c>
      <c r="N11" s="323" t="s">
        <v>35</v>
      </c>
    </row>
    <row r="12" spans="2:14" ht="12">
      <c r="B12" s="212">
        <v>2</v>
      </c>
      <c r="C12" s="3" t="s">
        <v>648</v>
      </c>
      <c r="D12" s="183" t="s">
        <v>720</v>
      </c>
      <c r="E12" s="195" t="s">
        <v>721</v>
      </c>
      <c r="F12" s="197">
        <f>ВводДанных!V24</f>
        <v>1451</v>
      </c>
      <c r="G12" s="182">
        <f>ВводДанных!X24</f>
        <v>1107</v>
      </c>
      <c r="H12" s="198">
        <f aca="true" t="shared" si="0" ref="H12:H71">IF(F12&gt;0,AVERAGE(F12,G12),0)</f>
        <v>1279</v>
      </c>
      <c r="I12" s="200">
        <f>ВводДанных!V51-ВводДанных!V62-ВводДанных!V64-ВводДанных!V47-ВводДанных!V45</f>
        <v>167877</v>
      </c>
      <c r="J12" s="4">
        <f>ВводДанных!X51-ВводДанных!X62-ВводДанных!X64-ВводДанных!X47-ВводДанных!X45</f>
        <v>98227</v>
      </c>
      <c r="K12" s="198">
        <f>IF(I12&gt;0,AVERAGE(I12,J12),0)</f>
        <v>133052</v>
      </c>
      <c r="L12" s="257">
        <f>IF(I12=0,0,F12/I12)</f>
        <v>0.008643232843093455</v>
      </c>
      <c r="M12" s="258">
        <f>IF(J12=0,0,G12/J12)</f>
        <v>0.011269813798650066</v>
      </c>
      <c r="N12" t="s">
        <v>41</v>
      </c>
    </row>
    <row r="13" spans="2:14" ht="12">
      <c r="B13" s="212">
        <v>3</v>
      </c>
      <c r="C13" s="3" t="s">
        <v>649</v>
      </c>
      <c r="D13" s="183" t="s">
        <v>722</v>
      </c>
      <c r="E13" s="195" t="s">
        <v>2</v>
      </c>
      <c r="F13" s="197"/>
      <c r="G13" s="182">
        <f>ВводДанных!X141+ВводДанных!X142</f>
        <v>455.80500000000006</v>
      </c>
      <c r="H13" s="198">
        <f t="shared" si="0"/>
        <v>0</v>
      </c>
      <c r="I13" s="200"/>
      <c r="J13" s="4">
        <f>ВводДанных!X149</f>
        <v>495.47500000000014</v>
      </c>
      <c r="K13" s="198">
        <f aca="true" t="shared" si="1" ref="K13:K71">IF(I13&gt;0,AVERAGE(I13,J13),0)</f>
        <v>0</v>
      </c>
      <c r="L13" s="257">
        <f>IF(I13=0,0,F13/I13)</f>
        <v>0</v>
      </c>
      <c r="M13" s="258">
        <f>IF(J13=0,0,G13/J13)</f>
        <v>0.9199354155103687</v>
      </c>
      <c r="N13" s="324" t="s">
        <v>42</v>
      </c>
    </row>
    <row r="14" spans="2:14" ht="12">
      <c r="B14" s="212">
        <v>4</v>
      </c>
      <c r="C14" s="3" t="s">
        <v>650</v>
      </c>
      <c r="D14" s="183" t="s">
        <v>793</v>
      </c>
      <c r="E14" s="195" t="s">
        <v>2</v>
      </c>
      <c r="F14" s="197"/>
      <c r="G14" s="182">
        <f>ВводДанных!V161</f>
        <v>2591</v>
      </c>
      <c r="H14" s="198">
        <f t="shared" si="0"/>
        <v>0</v>
      </c>
      <c r="I14" s="200"/>
      <c r="J14" s="4">
        <f>ВводДанных!X149</f>
        <v>495.47500000000014</v>
      </c>
      <c r="K14" s="198">
        <f t="shared" si="1"/>
        <v>0</v>
      </c>
      <c r="L14" s="257">
        <f aca="true" t="shared" si="2" ref="L14:L19">IF(I14=0,0,F14/I14)</f>
        <v>0</v>
      </c>
      <c r="M14" s="258">
        <f aca="true" t="shared" si="3" ref="M14:M19">IF(J14=0,0,G14/J14)</f>
        <v>5.229325394823148</v>
      </c>
      <c r="N14" s="324" t="s">
        <v>36</v>
      </c>
    </row>
    <row r="15" spans="2:14" ht="12">
      <c r="B15" s="212">
        <v>5</v>
      </c>
      <c r="C15" s="3" t="s">
        <v>651</v>
      </c>
      <c r="D15" s="183" t="s">
        <v>794</v>
      </c>
      <c r="E15" s="195" t="s">
        <v>3</v>
      </c>
      <c r="F15" s="197"/>
      <c r="G15" s="182">
        <f>ВводДанных!V163</f>
        <v>1135</v>
      </c>
      <c r="H15" s="198">
        <f t="shared" si="0"/>
        <v>0</v>
      </c>
      <c r="I15" s="200"/>
      <c r="J15" s="4">
        <f>ВводДанных!X141+ВводДанных!X142</f>
        <v>455.80500000000006</v>
      </c>
      <c r="K15" s="198">
        <f t="shared" si="1"/>
        <v>0</v>
      </c>
      <c r="L15" s="257">
        <f>IF((IF(I15=0,0,F15/I15))&gt;1,1,IF(I15=0,0,F15/I15))</f>
        <v>0</v>
      </c>
      <c r="M15" s="258">
        <f>IF((IF(J15=0,0,G15/J15))&gt;1,1,IF(J15=0,0,G15/J15))</f>
        <v>1</v>
      </c>
      <c r="N15" s="324" t="s">
        <v>40</v>
      </c>
    </row>
    <row r="16" spans="2:14" ht="12">
      <c r="B16" s="212">
        <v>6</v>
      </c>
      <c r="C16" s="3" t="s">
        <v>652</v>
      </c>
      <c r="D16" s="183" t="s">
        <v>723</v>
      </c>
      <c r="E16" s="195" t="s">
        <v>2</v>
      </c>
      <c r="F16" s="197"/>
      <c r="G16" s="182">
        <f>ВводДанных!T149</f>
        <v>0</v>
      </c>
      <c r="H16" s="198">
        <f t="shared" si="0"/>
        <v>0</v>
      </c>
      <c r="I16" s="200"/>
      <c r="J16" s="4">
        <f>ВводДанных!X149</f>
        <v>495.47500000000014</v>
      </c>
      <c r="K16" s="198">
        <f t="shared" si="1"/>
        <v>0</v>
      </c>
      <c r="L16" s="257">
        <f t="shared" si="2"/>
        <v>0</v>
      </c>
      <c r="M16" s="258">
        <f t="shared" si="3"/>
        <v>0</v>
      </c>
      <c r="N16" s="324" t="s">
        <v>43</v>
      </c>
    </row>
    <row r="17" spans="2:14" ht="12.75" thickBot="1">
      <c r="B17" s="213">
        <v>7</v>
      </c>
      <c r="C17" s="214" t="s">
        <v>653</v>
      </c>
      <c r="D17" s="215" t="s">
        <v>724</v>
      </c>
      <c r="E17" s="216" t="s">
        <v>4</v>
      </c>
      <c r="F17" s="217"/>
      <c r="G17" s="218">
        <f>ВводДанных!V149</f>
        <v>1108.816</v>
      </c>
      <c r="H17" s="219">
        <f t="shared" si="0"/>
        <v>0</v>
      </c>
      <c r="I17" s="220"/>
      <c r="J17" s="221">
        <f>ВводДанных!R149</f>
        <v>1604.2910000000002</v>
      </c>
      <c r="K17" s="219">
        <f t="shared" si="1"/>
        <v>0</v>
      </c>
      <c r="L17" s="259">
        <f t="shared" si="2"/>
        <v>0</v>
      </c>
      <c r="M17" s="260">
        <f t="shared" si="3"/>
        <v>0.6911564049165644</v>
      </c>
      <c r="N17" s="324" t="s">
        <v>44</v>
      </c>
    </row>
    <row r="18" spans="2:14" ht="12">
      <c r="B18" s="222">
        <v>8</v>
      </c>
      <c r="C18" s="223" t="s">
        <v>654</v>
      </c>
      <c r="D18" s="224" t="s">
        <v>725</v>
      </c>
      <c r="E18" s="225"/>
      <c r="F18" s="226">
        <f>ВводДанных!V65-ВводДанных!V47-ВводДанных!V45+ВводДанных!V70-ВводДанных!V30-ВводДанных!V42-ВводДанных!V62-ВводДанных!V64</f>
        <v>21770</v>
      </c>
      <c r="G18" s="227">
        <f>ВводДанных!X65-ВводДанных!X47-ВводДанных!X45+ВводДанных!X70-ВводДанных!X30-ВводДанных!X42-ВводДанных!X62-ВводДанных!X64</f>
        <v>25116</v>
      </c>
      <c r="H18" s="228">
        <f t="shared" si="0"/>
        <v>23443</v>
      </c>
      <c r="I18" s="229" t="s">
        <v>369</v>
      </c>
      <c r="J18" s="230" t="s">
        <v>369</v>
      </c>
      <c r="K18" s="228" t="s">
        <v>369</v>
      </c>
      <c r="L18" s="229">
        <f>F18</f>
        <v>21770</v>
      </c>
      <c r="M18" s="261">
        <f>G18</f>
        <v>25116</v>
      </c>
      <c r="N18" s="324" t="s">
        <v>45</v>
      </c>
    </row>
    <row r="19" spans="2:14" ht="12">
      <c r="B19" s="231">
        <v>9</v>
      </c>
      <c r="C19" s="232" t="s">
        <v>655</v>
      </c>
      <c r="D19" s="233" t="s">
        <v>726</v>
      </c>
      <c r="E19" s="234" t="s">
        <v>18</v>
      </c>
      <c r="F19" s="235">
        <f>ВводДанных!V48</f>
        <v>14919</v>
      </c>
      <c r="G19" s="236">
        <f>ВводДанных!X48</f>
        <v>757</v>
      </c>
      <c r="H19" s="237">
        <f t="shared" si="0"/>
        <v>7838</v>
      </c>
      <c r="I19" s="238">
        <f>ВводДанных!V50-ВводДанных!V47-ВводДанных!V45-ВводДанных!V42-ВводДанных!V87</f>
        <v>21770</v>
      </c>
      <c r="J19" s="239">
        <f>ВводДанных!X50-ВводДанных!X47-ВводДанных!X45-ВводДанных!X42-ВводДанных!X87</f>
        <v>25116</v>
      </c>
      <c r="K19" s="237">
        <f t="shared" si="1"/>
        <v>23443</v>
      </c>
      <c r="L19" s="262">
        <f t="shared" si="2"/>
        <v>0.6853008727606799</v>
      </c>
      <c r="M19" s="263">
        <f t="shared" si="3"/>
        <v>0.030140149705367096</v>
      </c>
      <c r="N19" s="324" t="s">
        <v>46</v>
      </c>
    </row>
    <row r="20" spans="2:14" ht="12">
      <c r="B20" s="231">
        <v>10</v>
      </c>
      <c r="C20" s="232" t="s">
        <v>656</v>
      </c>
      <c r="D20" s="233" t="s">
        <v>19</v>
      </c>
      <c r="E20" s="234" t="s">
        <v>729</v>
      </c>
      <c r="F20" s="235">
        <f>ВводДанных!V50-ВводДанных!V47-ВводДанных!V45-ВводДанных!V42</f>
        <v>165753</v>
      </c>
      <c r="G20" s="236">
        <f>ВводДанных!X50-ВводДанных!X47-ВводДанных!X45-ВводДанных!X42</f>
        <v>97086</v>
      </c>
      <c r="H20" s="237">
        <f t="shared" si="0"/>
        <v>131419.5</v>
      </c>
      <c r="I20" s="238">
        <f>ВводДанных!V87</f>
        <v>143983</v>
      </c>
      <c r="J20" s="239">
        <f>ВводДанных!X87</f>
        <v>71970</v>
      </c>
      <c r="K20" s="237">
        <f t="shared" si="1"/>
        <v>107976.5</v>
      </c>
      <c r="L20" s="262">
        <f aca="true" t="shared" si="4" ref="L20:L29">IF(I20=0,0,F20/I20)</f>
        <v>1.1511984053673003</v>
      </c>
      <c r="M20" s="263">
        <f aca="true" t="shared" si="5" ref="M20:M29">IF(J20=0,0,G20/J20)</f>
        <v>1.3489787411421426</v>
      </c>
      <c r="N20" s="324" t="s">
        <v>67</v>
      </c>
    </row>
    <row r="21" spans="2:14" ht="12">
      <c r="B21" s="231">
        <v>11</v>
      </c>
      <c r="C21" s="232" t="s">
        <v>657</v>
      </c>
      <c r="D21" s="233" t="s">
        <v>728</v>
      </c>
      <c r="E21" s="234" t="s">
        <v>729</v>
      </c>
      <c r="F21" s="235">
        <f>ВводДанных!V50-ВводДанных!V47-ВводДанных!V45-ВводДанных!V32-ВводДанных!V41-ВводДанных!V42</f>
        <v>159720</v>
      </c>
      <c r="G21" s="236">
        <f>ВводДанных!X50-ВводДанных!X47-ВводДанных!X45-ВводДанных!X32-ВводДанных!X41-ВводДанных!X42</f>
        <v>92606</v>
      </c>
      <c r="H21" s="237">
        <f t="shared" si="0"/>
        <v>126163</v>
      </c>
      <c r="I21" s="238">
        <f>ВводДанных!V87</f>
        <v>143983</v>
      </c>
      <c r="J21" s="239">
        <f>ВводДанных!X87</f>
        <v>71970</v>
      </c>
      <c r="K21" s="237">
        <f t="shared" si="1"/>
        <v>107976.5</v>
      </c>
      <c r="L21" s="262">
        <f t="shared" si="4"/>
        <v>1.1092976254141114</v>
      </c>
      <c r="M21" s="263">
        <f t="shared" si="5"/>
        <v>1.2867305821870223</v>
      </c>
      <c r="N21" s="324" t="s">
        <v>72</v>
      </c>
    </row>
    <row r="22" spans="2:14" ht="12">
      <c r="B22" s="231">
        <v>12</v>
      </c>
      <c r="C22" s="232" t="s">
        <v>658</v>
      </c>
      <c r="D22" s="233" t="s">
        <v>727</v>
      </c>
      <c r="E22" s="234" t="s">
        <v>729</v>
      </c>
      <c r="F22" s="235">
        <f>ВводДанных!V48</f>
        <v>14919</v>
      </c>
      <c r="G22" s="236">
        <f>ВводДанных!X48</f>
        <v>757</v>
      </c>
      <c r="H22" s="237">
        <f t="shared" si="0"/>
        <v>7838</v>
      </c>
      <c r="I22" s="238">
        <f>ВводДанных!V87</f>
        <v>143983</v>
      </c>
      <c r="J22" s="239">
        <f>ВводДанных!X87</f>
        <v>71970</v>
      </c>
      <c r="K22" s="237">
        <f t="shared" si="1"/>
        <v>107976.5</v>
      </c>
      <c r="L22" s="262">
        <f t="shared" si="4"/>
        <v>0.10361639915823395</v>
      </c>
      <c r="M22" s="263">
        <f t="shared" si="5"/>
        <v>0.010518271502014728</v>
      </c>
      <c r="N22" t="s">
        <v>73</v>
      </c>
    </row>
    <row r="23" spans="2:14" ht="12">
      <c r="B23" s="231">
        <v>13</v>
      </c>
      <c r="C23" s="232" t="s">
        <v>659</v>
      </c>
      <c r="D23" s="233" t="s">
        <v>730</v>
      </c>
      <c r="E23" s="234" t="s">
        <v>719</v>
      </c>
      <c r="F23" s="235">
        <f>ВводДанных!V50-ВводДанных!V47-ВводДанных!V45-ВводДанных!V42</f>
        <v>165753</v>
      </c>
      <c r="G23" s="236">
        <f>ВводДанных!X50-ВводДанных!X47-ВводДанных!X45-ВводДанных!X42</f>
        <v>97086</v>
      </c>
      <c r="H23" s="237">
        <f t="shared" si="0"/>
        <v>131419.5</v>
      </c>
      <c r="I23" s="238">
        <f>ВводДанных!V51-ВводДанных!V62-ВводДанных!V64-ВводДанных!V47-ВводДанных!V45</f>
        <v>167877</v>
      </c>
      <c r="J23" s="239">
        <f>ВводДанных!X51-ВводДанных!X62-ВводДанных!X64-ВводДанных!X47-ВводДанных!X45</f>
        <v>98227</v>
      </c>
      <c r="K23" s="237">
        <f t="shared" si="1"/>
        <v>133052</v>
      </c>
      <c r="L23" s="262">
        <f t="shared" si="4"/>
        <v>0.9873478796976358</v>
      </c>
      <c r="M23" s="263">
        <f t="shared" si="5"/>
        <v>0.9883840491921773</v>
      </c>
      <c r="N23" s="324" t="s">
        <v>74</v>
      </c>
    </row>
    <row r="24" spans="2:14" ht="12">
      <c r="B24" s="231">
        <v>14</v>
      </c>
      <c r="C24" s="232" t="s">
        <v>660</v>
      </c>
      <c r="D24" s="233" t="s">
        <v>731</v>
      </c>
      <c r="E24" s="234" t="s">
        <v>5</v>
      </c>
      <c r="F24" s="235">
        <f>ВводДанных!V50-ВводДанных!V47-ВводДанных!V45-ВводДанных!V42-ВводДанных!V87</f>
        <v>21770</v>
      </c>
      <c r="G24" s="236">
        <f>ВводДанных!X50-ВводДанных!X47-ВводДанных!X45-ВводДанных!X42-ВводДанных!X87</f>
        <v>25116</v>
      </c>
      <c r="H24" s="237">
        <f t="shared" si="0"/>
        <v>23443</v>
      </c>
      <c r="I24" s="238">
        <f>ВводДанных!V50-ВводДанных!V47-ВводДанных!V45-ВводДанных!V42</f>
        <v>165753</v>
      </c>
      <c r="J24" s="239">
        <f>ВводДанных!X50-ВводДанных!X47-ВводДанных!X45-ВводДанных!X42</f>
        <v>97086</v>
      </c>
      <c r="K24" s="237">
        <f t="shared" si="1"/>
        <v>131419.5</v>
      </c>
      <c r="L24" s="262">
        <f t="shared" si="4"/>
        <v>0.13134000591241185</v>
      </c>
      <c r="M24" s="263">
        <f t="shared" si="5"/>
        <v>0.258698473518324</v>
      </c>
      <c r="N24" t="s">
        <v>47</v>
      </c>
    </row>
    <row r="25" spans="2:14" ht="12">
      <c r="B25" s="231">
        <v>15</v>
      </c>
      <c r="C25" s="232" t="s">
        <v>661</v>
      </c>
      <c r="D25" s="233" t="s">
        <v>732</v>
      </c>
      <c r="E25" s="234" t="s">
        <v>6</v>
      </c>
      <c r="F25" s="235">
        <f>ВводДанных!V32+ВводДанных!V41</f>
        <v>6033</v>
      </c>
      <c r="G25" s="236">
        <f>ВводДанных!X32+ВводДанных!X41</f>
        <v>4480</v>
      </c>
      <c r="H25" s="237">
        <f t="shared" si="0"/>
        <v>5256.5</v>
      </c>
      <c r="I25" s="238">
        <f>ВводДанных!V50-ВводДанных!V42</f>
        <v>165753</v>
      </c>
      <c r="J25" s="239">
        <f>ВводДанных!X50-ВводДанных!X42</f>
        <v>97086</v>
      </c>
      <c r="K25" s="237">
        <f t="shared" si="1"/>
        <v>131419.5</v>
      </c>
      <c r="L25" s="262">
        <f t="shared" si="4"/>
        <v>0.03639753126640242</v>
      </c>
      <c r="M25" s="263">
        <f t="shared" si="5"/>
        <v>0.046144655254104605</v>
      </c>
      <c r="N25" s="324" t="s">
        <v>106</v>
      </c>
    </row>
    <row r="26" spans="2:14" ht="12">
      <c r="B26" s="231">
        <v>16</v>
      </c>
      <c r="C26" s="232" t="s">
        <v>662</v>
      </c>
      <c r="D26" s="233" t="s">
        <v>731</v>
      </c>
      <c r="E26" s="234" t="s">
        <v>7</v>
      </c>
      <c r="F26" s="235">
        <f>ВводДанных!V50-ВводДанных!V47-ВводДанных!V45-ВводДанных!V42-ВводДанных!V87</f>
        <v>21770</v>
      </c>
      <c r="G26" s="236">
        <f>ВводДанных!X50-ВводДанных!X47-ВводДанных!X45-ВводДанных!X42-ВводДанных!X87</f>
        <v>25116</v>
      </c>
      <c r="H26" s="237">
        <f t="shared" si="0"/>
        <v>23443</v>
      </c>
      <c r="I26" s="238">
        <f>ВводДанных!V32+ВводДанных!V41</f>
        <v>6033</v>
      </c>
      <c r="J26" s="239">
        <f>ВводДанных!X32+ВводДанных!X41</f>
        <v>4480</v>
      </c>
      <c r="K26" s="237">
        <f t="shared" si="1"/>
        <v>5256.5</v>
      </c>
      <c r="L26" s="262">
        <f t="shared" si="4"/>
        <v>3.608486656721366</v>
      </c>
      <c r="M26" s="263">
        <f t="shared" si="5"/>
        <v>5.60625</v>
      </c>
      <c r="N26" t="s">
        <v>107</v>
      </c>
    </row>
    <row r="27" spans="2:14" ht="12.75" thickBot="1">
      <c r="B27" s="240">
        <v>17</v>
      </c>
      <c r="C27" s="241" t="s">
        <v>663</v>
      </c>
      <c r="D27" s="242" t="s">
        <v>736</v>
      </c>
      <c r="E27" s="243" t="s">
        <v>789</v>
      </c>
      <c r="F27" s="244">
        <f>ВводДанных!V65-ВводДанных!V62-ВводДанных!V64-ВводДанных!V47-ВводДанных!V45+ВводДанных!V70-ВводДанных!V30-ВводДанных!V42+ВводДанных!V72+ВводДанных!V75+ВводДанных!V76+ВводДанных!V81</f>
        <v>35216</v>
      </c>
      <c r="G27" s="245">
        <f>ВводДанных!X65-ВводДанных!X62-ВводДанных!X64-ВводДанных!X47-ВводДанных!X45+ВводДанных!X70-ВводДанных!X30-ВводДанных!X42+ВводДанных!X72+ВводДанных!X75+ВводДанных!X76+ВводДанных!X81</f>
        <v>61863</v>
      </c>
      <c r="H27" s="246">
        <f t="shared" si="0"/>
        <v>48539.5</v>
      </c>
      <c r="I27" s="247">
        <f>ВводДанных!V32+ВводДанных!V41</f>
        <v>6033</v>
      </c>
      <c r="J27" s="248">
        <f>ВводДанных!X32+ВводДанных!X41</f>
        <v>4480</v>
      </c>
      <c r="K27" s="246">
        <f t="shared" si="1"/>
        <v>5256.5</v>
      </c>
      <c r="L27" s="264">
        <f t="shared" si="4"/>
        <v>5.837228576164429</v>
      </c>
      <c r="M27" s="265">
        <f t="shared" si="5"/>
        <v>13.808705357142857</v>
      </c>
      <c r="N27" s="324" t="s">
        <v>108</v>
      </c>
    </row>
    <row r="28" spans="2:14" ht="12">
      <c r="B28" s="202">
        <v>18</v>
      </c>
      <c r="C28" s="203" t="s">
        <v>664</v>
      </c>
      <c r="D28" s="204" t="s">
        <v>737</v>
      </c>
      <c r="E28" s="205" t="s">
        <v>719</v>
      </c>
      <c r="F28" s="206">
        <f>ВводДанных!V65-ВводДанных!V62-ВводДанных!V64-ВводДанных!V47-ВводДанных!V45</f>
        <v>23105</v>
      </c>
      <c r="G28" s="207">
        <f>ВводДанных!X65-ВводДанных!X62-ВводДанных!X64-ВводДанных!X47-ВводДанных!X45</f>
        <v>26090</v>
      </c>
      <c r="H28" s="208">
        <f t="shared" si="0"/>
        <v>24597.5</v>
      </c>
      <c r="I28" s="209">
        <f>ВводДанных!V51-ВводДанных!V62-ВводДанных!V64-ВводДанных!V47-ВводДанных!V45</f>
        <v>167877</v>
      </c>
      <c r="J28" s="210">
        <f>ВводДанных!X51-ВводДанных!X62-ВводДанных!X64-ВводДанных!X47-ВводДанных!X45</f>
        <v>98227</v>
      </c>
      <c r="K28" s="208">
        <f t="shared" si="1"/>
        <v>133052</v>
      </c>
      <c r="L28" s="266">
        <f t="shared" si="4"/>
        <v>0.13763052711211185</v>
      </c>
      <c r="M28" s="267">
        <f t="shared" si="5"/>
        <v>0.26560925203864516</v>
      </c>
      <c r="N28" t="s">
        <v>75</v>
      </c>
    </row>
    <row r="29" spans="2:14" ht="12">
      <c r="B29" s="212">
        <v>19</v>
      </c>
      <c r="C29" s="3" t="s">
        <v>665</v>
      </c>
      <c r="D29" s="183" t="s">
        <v>738</v>
      </c>
      <c r="E29" s="195" t="s">
        <v>8</v>
      </c>
      <c r="F29" s="197">
        <f>ВводДанных!V51-ВводДанных!V61-ВводДанных!V64-ВводДанных!V47-ВводДанных!V45</f>
        <v>152457</v>
      </c>
      <c r="G29" s="182">
        <f>ВводДанных!X51-ВводДанных!X61-ВводДанных!X64-ВводДанных!X47-ВводДанных!X45</f>
        <v>82807</v>
      </c>
      <c r="H29" s="198">
        <f t="shared" si="0"/>
        <v>117632</v>
      </c>
      <c r="I29" s="200">
        <f>ВводДанных!V65-ВводДанных!V62-ВводДанных!V64-ВводДанных!V47-ВводДанных!V45</f>
        <v>23105</v>
      </c>
      <c r="J29" s="4">
        <f>ВводДанных!X65-ВводДанных!X62-ВводДанных!X64-ВводДанных!X47-ВводДанных!X45</f>
        <v>26090</v>
      </c>
      <c r="K29" s="198">
        <f t="shared" si="1"/>
        <v>24597.5</v>
      </c>
      <c r="L29" s="257">
        <f t="shared" si="4"/>
        <v>6.598441895693573</v>
      </c>
      <c r="M29" s="258">
        <f t="shared" si="5"/>
        <v>3.1738980452280567</v>
      </c>
      <c r="N29" s="324" t="s">
        <v>76</v>
      </c>
    </row>
    <row r="30" spans="2:14" ht="12">
      <c r="B30" s="212">
        <v>20</v>
      </c>
      <c r="C30" s="3" t="s">
        <v>666</v>
      </c>
      <c r="D30" s="183" t="s">
        <v>739</v>
      </c>
      <c r="E30" s="195" t="s">
        <v>8</v>
      </c>
      <c r="F30" s="197">
        <f>ВводДанных!V50-ВводДанных!V47-ВводДанных!V45-ВводДанных!V42-ВводДанных!V87</f>
        <v>21770</v>
      </c>
      <c r="G30" s="182">
        <f>ВводДанных!X50-ВводДанных!X47-ВводДанных!X45-ВводДанных!X42-ВводДанных!X87</f>
        <v>25116</v>
      </c>
      <c r="H30" s="198">
        <f t="shared" si="0"/>
        <v>23443</v>
      </c>
      <c r="I30" s="200">
        <f>ВводДанных!V65-ВводДанных!V62-ВводДанных!V64-ВводДанных!V47-ВводДанных!V45</f>
        <v>23105</v>
      </c>
      <c r="J30" s="4">
        <f>ВводДанных!X65-ВводДанных!X62-ВводДанных!X64-ВводДанных!X47-ВводДанных!X45</f>
        <v>26090</v>
      </c>
      <c r="K30" s="198">
        <f t="shared" si="1"/>
        <v>24597.5</v>
      </c>
      <c r="L30" s="257">
        <f aca="true" t="shared" si="6" ref="L30:L35">IF(I30=0,0,F30/I30)</f>
        <v>0.9422202986366587</v>
      </c>
      <c r="M30" s="258">
        <f aca="true" t="shared" si="7" ref="M30:M71">IF(J30=0,0,G30/J30)</f>
        <v>0.9626676887696436</v>
      </c>
      <c r="N30" t="s">
        <v>77</v>
      </c>
    </row>
    <row r="31" spans="2:14" ht="12">
      <c r="B31" s="212">
        <v>21</v>
      </c>
      <c r="C31" s="3" t="s">
        <v>667</v>
      </c>
      <c r="D31" s="183" t="s">
        <v>740</v>
      </c>
      <c r="E31" s="195" t="s">
        <v>719</v>
      </c>
      <c r="F31" s="197">
        <f>ВводДанных!V70+ВводДанных!V87</f>
        <v>144772</v>
      </c>
      <c r="G31" s="182">
        <f>ВводДанных!X70+ВводДанных!X87</f>
        <v>72137</v>
      </c>
      <c r="H31" s="198">
        <f t="shared" si="0"/>
        <v>108454.5</v>
      </c>
      <c r="I31" s="200">
        <f>ВводДанных!V51-ВводДанных!V62-ВводДанных!V64-ВводДанных!V47-ВводДанных!V45</f>
        <v>167877</v>
      </c>
      <c r="J31" s="4">
        <f>ВводДанных!X51-ВводДанных!X62-ВводДанных!X64-ВводДанных!X47-ВводДанных!X45</f>
        <v>98227</v>
      </c>
      <c r="K31" s="198">
        <f t="shared" si="1"/>
        <v>133052</v>
      </c>
      <c r="L31" s="257">
        <f t="shared" si="6"/>
        <v>0.8623694728878881</v>
      </c>
      <c r="M31" s="258">
        <f t="shared" si="7"/>
        <v>0.7343907479613548</v>
      </c>
      <c r="N31" t="s">
        <v>78</v>
      </c>
    </row>
    <row r="32" spans="2:14" ht="12">
      <c r="B32" s="212">
        <v>22</v>
      </c>
      <c r="C32" s="3" t="s">
        <v>668</v>
      </c>
      <c r="D32" s="183" t="s">
        <v>741</v>
      </c>
      <c r="E32" s="195" t="s">
        <v>9</v>
      </c>
      <c r="F32" s="197">
        <f>ВводДанных!V70</f>
        <v>789</v>
      </c>
      <c r="G32" s="182">
        <f>ВводДанных!X70</f>
        <v>167</v>
      </c>
      <c r="H32" s="198">
        <f t="shared" si="0"/>
        <v>478</v>
      </c>
      <c r="I32" s="200">
        <f>ВводДанных!V30+ВводДанных!V42</f>
        <v>2124</v>
      </c>
      <c r="J32" s="4">
        <f>ВводДанных!X30+ВводДанных!X42</f>
        <v>1141</v>
      </c>
      <c r="K32" s="198">
        <f t="shared" si="1"/>
        <v>1632.5</v>
      </c>
      <c r="L32" s="257">
        <f t="shared" si="6"/>
        <v>0.3714689265536723</v>
      </c>
      <c r="M32" s="258">
        <f t="shared" si="7"/>
        <v>0.14636283961437335</v>
      </c>
      <c r="N32" t="s">
        <v>79</v>
      </c>
    </row>
    <row r="33" spans="2:14" ht="12">
      <c r="B33" s="212">
        <v>23</v>
      </c>
      <c r="C33" s="3" t="s">
        <v>669</v>
      </c>
      <c r="D33" s="183" t="s">
        <v>741</v>
      </c>
      <c r="E33" s="195" t="s">
        <v>10</v>
      </c>
      <c r="F33" s="197">
        <f>ВводДанных!V70</f>
        <v>789</v>
      </c>
      <c r="G33" s="182">
        <f>ВводДанных!X70</f>
        <v>167</v>
      </c>
      <c r="H33" s="198">
        <f t="shared" si="0"/>
        <v>478</v>
      </c>
      <c r="I33" s="200">
        <f>ВводДанных!V65-ВводДанных!V62-ВводДанных!V64-ВводДанных!V47-ВводДанных!V45+ВводДанных!V70</f>
        <v>23894</v>
      </c>
      <c r="J33" s="4">
        <f>ВводДанных!X65-ВводДанных!X62-ВводДанных!X64-ВводДанных!X47-ВводДанных!X45+ВводДанных!X70</f>
        <v>26257</v>
      </c>
      <c r="K33" s="198">
        <f t="shared" si="1"/>
        <v>25075.5</v>
      </c>
      <c r="L33" s="257">
        <f t="shared" si="6"/>
        <v>0.033020842052398094</v>
      </c>
      <c r="M33" s="258">
        <f t="shared" si="7"/>
        <v>0.006360208706249762</v>
      </c>
      <c r="N33" t="s">
        <v>80</v>
      </c>
    </row>
    <row r="34" spans="2:14" ht="12">
      <c r="B34" s="212">
        <v>24</v>
      </c>
      <c r="C34" s="3" t="s">
        <v>670</v>
      </c>
      <c r="D34" s="183" t="s">
        <v>742</v>
      </c>
      <c r="E34" s="195" t="s">
        <v>11</v>
      </c>
      <c r="F34" s="197">
        <f>ВводДанных!V70</f>
        <v>789</v>
      </c>
      <c r="G34" s="182">
        <f>ВводДанных!X70</f>
        <v>167</v>
      </c>
      <c r="H34" s="198">
        <f t="shared" si="0"/>
        <v>478</v>
      </c>
      <c r="I34" s="200">
        <f>ВводДанных!V70+ВводДанных!V87</f>
        <v>144772</v>
      </c>
      <c r="J34" s="4">
        <f>ВводДанных!X70+ВводДанных!X87</f>
        <v>72137</v>
      </c>
      <c r="K34" s="198">
        <f t="shared" si="1"/>
        <v>108454.5</v>
      </c>
      <c r="L34" s="257">
        <f t="shared" si="6"/>
        <v>0.005449948885143536</v>
      </c>
      <c r="M34" s="258">
        <f t="shared" si="7"/>
        <v>0.00231503943884553</v>
      </c>
      <c r="N34" t="s">
        <v>81</v>
      </c>
    </row>
    <row r="35" spans="2:14" ht="12.75" thickBot="1">
      <c r="B35" s="213">
        <v>25</v>
      </c>
      <c r="C35" s="214" t="s">
        <v>671</v>
      </c>
      <c r="D35" s="215" t="s">
        <v>743</v>
      </c>
      <c r="E35" s="216" t="s">
        <v>8</v>
      </c>
      <c r="F35" s="217">
        <f>ВводДанных!V70+ВводДанных!V87</f>
        <v>144772</v>
      </c>
      <c r="G35" s="218">
        <f>ВводДанных!X70+ВводДанных!X87</f>
        <v>72137</v>
      </c>
      <c r="H35" s="219">
        <f t="shared" si="0"/>
        <v>108454.5</v>
      </c>
      <c r="I35" s="220">
        <f>ВводДанных!V65-ВводДанных!V62-ВводДанных!V64-ВводДанных!V47-ВводДанных!V45</f>
        <v>23105</v>
      </c>
      <c r="J35" s="221">
        <f>ВводДанных!X65-ВводДанных!X62-ВводДанных!X64-ВводДанных!X47-ВводДанных!X45</f>
        <v>26090</v>
      </c>
      <c r="K35" s="219">
        <f t="shared" si="1"/>
        <v>24597.5</v>
      </c>
      <c r="L35" s="259">
        <f t="shared" si="6"/>
        <v>6.265829906946548</v>
      </c>
      <c r="M35" s="260">
        <f t="shared" si="7"/>
        <v>2.764929091605979</v>
      </c>
      <c r="N35" t="s">
        <v>48</v>
      </c>
    </row>
    <row r="36" spans="2:14" ht="12">
      <c r="B36" s="222">
        <v>26</v>
      </c>
      <c r="C36" s="223" t="s">
        <v>672</v>
      </c>
      <c r="D36" s="224" t="s">
        <v>744</v>
      </c>
      <c r="E36" s="225"/>
      <c r="F36" s="226"/>
      <c r="G36" s="227">
        <f>ВводДанных!V96</f>
        <v>79229</v>
      </c>
      <c r="H36" s="228">
        <f>IF(F36&gt;0,AVERAGE(F36,G36),0)</f>
        <v>0</v>
      </c>
      <c r="I36" s="229" t="s">
        <v>369</v>
      </c>
      <c r="J36" s="230" t="s">
        <v>369</v>
      </c>
      <c r="K36" s="228" t="s">
        <v>369</v>
      </c>
      <c r="L36" s="268"/>
      <c r="M36" s="261">
        <f>G36</f>
        <v>79229</v>
      </c>
      <c r="N36" s="323" t="s">
        <v>49</v>
      </c>
    </row>
    <row r="37" spans="2:14" ht="12">
      <c r="B37" s="231">
        <v>27</v>
      </c>
      <c r="C37" s="232" t="s">
        <v>673</v>
      </c>
      <c r="D37" s="233" t="s">
        <v>745</v>
      </c>
      <c r="E37" s="234"/>
      <c r="F37" s="235"/>
      <c r="G37" s="236">
        <f>ВводДанных!V119-ВводДанных!V122</f>
        <v>3002</v>
      </c>
      <c r="H37" s="237">
        <f t="shared" si="0"/>
        <v>0</v>
      </c>
      <c r="I37" s="238" t="s">
        <v>369</v>
      </c>
      <c r="J37" s="239" t="s">
        <v>369</v>
      </c>
      <c r="K37" s="237" t="s">
        <v>369</v>
      </c>
      <c r="L37" s="262"/>
      <c r="M37" s="269">
        <f>G37</f>
        <v>3002</v>
      </c>
      <c r="N37" s="323" t="s">
        <v>50</v>
      </c>
    </row>
    <row r="38" spans="2:14" ht="12">
      <c r="B38" s="231">
        <v>28</v>
      </c>
      <c r="C38" s="232" t="s">
        <v>674</v>
      </c>
      <c r="D38" s="249" t="s">
        <v>744</v>
      </c>
      <c r="E38" s="250" t="s">
        <v>746</v>
      </c>
      <c r="F38" s="251"/>
      <c r="G38" s="252">
        <f>ВводДанных!V96</f>
        <v>79229</v>
      </c>
      <c r="H38" s="237">
        <f t="shared" si="0"/>
        <v>0</v>
      </c>
      <c r="I38" s="238"/>
      <c r="J38" s="239">
        <f>ВводДанных!Q187</f>
        <v>129</v>
      </c>
      <c r="K38" s="237">
        <f t="shared" si="1"/>
        <v>0</v>
      </c>
      <c r="L38" s="270"/>
      <c r="M38" s="271">
        <f t="shared" si="7"/>
        <v>614.1782945736434</v>
      </c>
      <c r="N38" s="300" t="s">
        <v>82</v>
      </c>
    </row>
    <row r="39" spans="2:14" ht="12">
      <c r="B39" s="231">
        <v>29</v>
      </c>
      <c r="C39" s="232" t="s">
        <v>675</v>
      </c>
      <c r="D39" s="249" t="s">
        <v>747</v>
      </c>
      <c r="E39" s="250" t="s">
        <v>762</v>
      </c>
      <c r="F39" s="251"/>
      <c r="G39" s="252">
        <f>ВводДанных!V96</f>
        <v>79229</v>
      </c>
      <c r="H39" s="237">
        <f t="shared" si="0"/>
        <v>0</v>
      </c>
      <c r="I39" s="238"/>
      <c r="J39" s="239">
        <f>(ВводДанных!V24+ВводДанных!X24)/2</f>
        <v>1279</v>
      </c>
      <c r="K39" s="237">
        <f t="shared" si="1"/>
        <v>0</v>
      </c>
      <c r="L39" s="270"/>
      <c r="M39" s="263">
        <f t="shared" si="7"/>
        <v>61.9460516028147</v>
      </c>
      <c r="N39" s="300" t="s">
        <v>51</v>
      </c>
    </row>
    <row r="40" spans="2:14" ht="12">
      <c r="B40" s="231">
        <v>30</v>
      </c>
      <c r="C40" s="232" t="s">
        <v>676</v>
      </c>
      <c r="D40" s="249" t="s">
        <v>744</v>
      </c>
      <c r="E40" s="250" t="s">
        <v>763</v>
      </c>
      <c r="F40" s="251"/>
      <c r="G40" s="252">
        <f>ВводДанных!V96</f>
        <v>79229</v>
      </c>
      <c r="H40" s="237">
        <f t="shared" si="0"/>
        <v>0</v>
      </c>
      <c r="I40" s="238"/>
      <c r="J40" s="239">
        <f>(ВводДанных!V43+ВводДанных!X43)/2</f>
        <v>117330.5</v>
      </c>
      <c r="K40" s="237">
        <f t="shared" si="1"/>
        <v>0</v>
      </c>
      <c r="L40" s="270"/>
      <c r="M40" s="269">
        <f t="shared" si="7"/>
        <v>0.6752634651689032</v>
      </c>
      <c r="N40" s="300" t="s">
        <v>83</v>
      </c>
    </row>
    <row r="41" spans="2:14" ht="12">
      <c r="B41" s="231">
        <v>31</v>
      </c>
      <c r="C41" s="232" t="s">
        <v>677</v>
      </c>
      <c r="D41" s="249" t="s">
        <v>748</v>
      </c>
      <c r="E41" s="250" t="s">
        <v>765</v>
      </c>
      <c r="F41" s="251"/>
      <c r="G41" s="252">
        <f>360*(ВводДанных!V43+ВводДанных!X43)/2</f>
        <v>42238980</v>
      </c>
      <c r="H41" s="237">
        <f t="shared" si="0"/>
        <v>0</v>
      </c>
      <c r="I41" s="238"/>
      <c r="J41" s="239">
        <f>ВводДанных!V96</f>
        <v>79229</v>
      </c>
      <c r="K41" s="237">
        <f t="shared" si="1"/>
        <v>0</v>
      </c>
      <c r="L41" s="270"/>
      <c r="M41" s="269">
        <f t="shared" si="7"/>
        <v>533.1252445442957</v>
      </c>
      <c r="N41" s="300" t="s">
        <v>84</v>
      </c>
    </row>
    <row r="42" spans="2:14" ht="12">
      <c r="B42" s="231">
        <v>32</v>
      </c>
      <c r="C42" s="232" t="s">
        <v>678</v>
      </c>
      <c r="D42" s="249" t="s">
        <v>749</v>
      </c>
      <c r="E42" s="250" t="s">
        <v>750</v>
      </c>
      <c r="F42" s="251"/>
      <c r="G42" s="252">
        <f>ВводДанных!V101</f>
        <v>59369</v>
      </c>
      <c r="H42" s="237">
        <f t="shared" si="0"/>
        <v>0</v>
      </c>
      <c r="I42" s="238"/>
      <c r="J42" s="239">
        <f>((ВводДанных!V32+ВводДанных!V41)+(ВводДанных!X32+ВводДанных!X41))/2</f>
        <v>5256.5</v>
      </c>
      <c r="K42" s="237">
        <f t="shared" si="1"/>
        <v>0</v>
      </c>
      <c r="L42" s="270"/>
      <c r="M42" s="271">
        <f t="shared" si="7"/>
        <v>11.2943974127271</v>
      </c>
      <c r="N42" s="300" t="s">
        <v>85</v>
      </c>
    </row>
    <row r="43" spans="2:14" ht="12">
      <c r="B43" s="231">
        <v>33</v>
      </c>
      <c r="C43" s="232" t="s">
        <v>679</v>
      </c>
      <c r="D43" s="249" t="s">
        <v>751</v>
      </c>
      <c r="E43" s="250" t="s">
        <v>764</v>
      </c>
      <c r="F43" s="251"/>
      <c r="G43" s="252">
        <f>360*(ВводДанных!V32+ВводДанных!V41+ВводДанных!X32+ВводДанных!X41)/2</f>
        <v>1892340</v>
      </c>
      <c r="H43" s="237">
        <f t="shared" si="0"/>
        <v>0</v>
      </c>
      <c r="I43" s="238"/>
      <c r="J43" s="239">
        <f>ВводДанных!V101</f>
        <v>59369</v>
      </c>
      <c r="K43" s="237">
        <f t="shared" si="1"/>
        <v>0</v>
      </c>
      <c r="L43" s="270"/>
      <c r="M43" s="269">
        <f t="shared" si="7"/>
        <v>31.874210446529332</v>
      </c>
      <c r="N43" s="300" t="s">
        <v>86</v>
      </c>
    </row>
    <row r="44" spans="2:14" ht="12">
      <c r="B44" s="231">
        <v>34</v>
      </c>
      <c r="C44" s="232" t="s">
        <v>680</v>
      </c>
      <c r="D44" s="249" t="s">
        <v>752</v>
      </c>
      <c r="E44" s="250" t="s">
        <v>764</v>
      </c>
      <c r="F44" s="251"/>
      <c r="G44" s="252">
        <f>360*(ВводДанных!V73+ВводДанных!X73+ВводДанных!V75+ВводДанных!X75+ВводДанных!V76+ВводДанных!X76+ВводДанных!V81+ВводДанных!X81)/2</f>
        <v>9034740</v>
      </c>
      <c r="H44" s="237">
        <f t="shared" si="0"/>
        <v>0</v>
      </c>
      <c r="I44" s="238"/>
      <c r="J44" s="239">
        <f>ВводДанных!V101</f>
        <v>59369</v>
      </c>
      <c r="K44" s="237">
        <f t="shared" si="1"/>
        <v>0</v>
      </c>
      <c r="L44" s="270"/>
      <c r="M44" s="269">
        <f t="shared" si="7"/>
        <v>152.17942023615018</v>
      </c>
      <c r="N44" s="300" t="s">
        <v>87</v>
      </c>
    </row>
    <row r="45" spans="2:14" ht="12">
      <c r="B45" s="231">
        <v>35</v>
      </c>
      <c r="C45" s="232" t="s">
        <v>689</v>
      </c>
      <c r="D45" s="249" t="s">
        <v>753</v>
      </c>
      <c r="E45" s="250"/>
      <c r="F45" s="251"/>
      <c r="G45" s="252">
        <f>M41+M43</f>
        <v>564.999454990825</v>
      </c>
      <c r="H45" s="237">
        <f t="shared" si="0"/>
        <v>0</v>
      </c>
      <c r="I45" s="253" t="s">
        <v>369</v>
      </c>
      <c r="J45" s="254" t="s">
        <v>369</v>
      </c>
      <c r="K45" s="255" t="s">
        <v>369</v>
      </c>
      <c r="L45" s="270"/>
      <c r="M45" s="269">
        <f>G45</f>
        <v>564.999454990825</v>
      </c>
      <c r="N45" s="323" t="s">
        <v>105</v>
      </c>
    </row>
    <row r="46" spans="2:14" ht="12">
      <c r="B46" s="231">
        <v>36</v>
      </c>
      <c r="C46" s="232" t="s">
        <v>690</v>
      </c>
      <c r="D46" s="249" t="s">
        <v>754</v>
      </c>
      <c r="E46" s="250"/>
      <c r="F46" s="251"/>
      <c r="G46" s="252">
        <f>M45-M44</f>
        <v>412.82003475467485</v>
      </c>
      <c r="H46" s="237">
        <f t="shared" si="0"/>
        <v>0</v>
      </c>
      <c r="I46" s="238" t="s">
        <v>369</v>
      </c>
      <c r="J46" s="239" t="s">
        <v>369</v>
      </c>
      <c r="K46" s="237" t="s">
        <v>369</v>
      </c>
      <c r="L46" s="270"/>
      <c r="M46" s="269">
        <f>G46</f>
        <v>412.82003475467485</v>
      </c>
      <c r="N46" s="323" t="s">
        <v>88</v>
      </c>
    </row>
    <row r="47" spans="2:14" ht="12">
      <c r="B47" s="231">
        <v>37</v>
      </c>
      <c r="C47" s="232" t="s">
        <v>691</v>
      </c>
      <c r="D47" s="249" t="s">
        <v>755</v>
      </c>
      <c r="E47" s="250" t="s">
        <v>765</v>
      </c>
      <c r="F47" s="251"/>
      <c r="G47" s="252">
        <f>(ВводДанных!V43+ВводДанных!X43)/2</f>
        <v>117330.5</v>
      </c>
      <c r="H47" s="237">
        <f t="shared" si="0"/>
        <v>0</v>
      </c>
      <c r="I47" s="238"/>
      <c r="J47" s="239">
        <f>ВводДанных!V101</f>
        <v>59369</v>
      </c>
      <c r="K47" s="237">
        <f t="shared" si="1"/>
        <v>0</v>
      </c>
      <c r="L47" s="270"/>
      <c r="M47" s="263">
        <f t="shared" si="7"/>
        <v>1.9762923411207869</v>
      </c>
      <c r="N47" s="300" t="s">
        <v>89</v>
      </c>
    </row>
    <row r="48" spans="2:14" ht="12">
      <c r="B48" s="231">
        <v>38</v>
      </c>
      <c r="C48" s="232" t="s">
        <v>692</v>
      </c>
      <c r="D48" s="233" t="s">
        <v>756</v>
      </c>
      <c r="E48" s="234" t="s">
        <v>757</v>
      </c>
      <c r="F48" s="235"/>
      <c r="G48" s="236">
        <f>ВводДанных!V96</f>
        <v>79229</v>
      </c>
      <c r="H48" s="237">
        <f t="shared" si="0"/>
        <v>0</v>
      </c>
      <c r="I48" s="238"/>
      <c r="J48" s="239">
        <f>((ВводДанных!V65-ВводДанных!V62-ВводДанных!V64-ВводДанных!V47-ВводДанных!V45)+(ВводДанных!X65-ВводДанных!X62-ВводДанных!X64-ВводДанных!X47-ВводДанных!X45))/2</f>
        <v>24597.5</v>
      </c>
      <c r="K48" s="237">
        <f t="shared" si="1"/>
        <v>0</v>
      </c>
      <c r="L48" s="270"/>
      <c r="M48" s="263">
        <f t="shared" si="7"/>
        <v>3.2210183961784735</v>
      </c>
      <c r="N48" s="300" t="s">
        <v>93</v>
      </c>
    </row>
    <row r="49" spans="2:14" ht="12">
      <c r="B49" s="231">
        <v>39</v>
      </c>
      <c r="C49" s="232" t="s">
        <v>693</v>
      </c>
      <c r="D49" s="233" t="s">
        <v>756</v>
      </c>
      <c r="E49" s="234" t="s">
        <v>758</v>
      </c>
      <c r="F49" s="235"/>
      <c r="G49" s="236">
        <f>ВводДанных!V96</f>
        <v>79229</v>
      </c>
      <c r="H49" s="237">
        <f t="shared" si="0"/>
        <v>0</v>
      </c>
      <c r="I49" s="238"/>
      <c r="J49" s="239">
        <f>((ВводДанных!V51-ВводДанных!V62-ВводДанных!V64-ВводДанных!V47-ВводДанных!V45)+(ВводДанных!X51-ВводДанных!X62-ВводДанных!X64-ВводДанных!X47-ВводДанных!X45))/2</f>
        <v>133052</v>
      </c>
      <c r="K49" s="237">
        <f t="shared" si="1"/>
        <v>0</v>
      </c>
      <c r="L49" s="270"/>
      <c r="M49" s="263">
        <f t="shared" si="7"/>
        <v>0.5954739500345729</v>
      </c>
      <c r="N49" s="300" t="s">
        <v>94</v>
      </c>
    </row>
    <row r="50" spans="2:14" ht="12">
      <c r="B50" s="231">
        <v>40</v>
      </c>
      <c r="C50" s="232" t="s">
        <v>694</v>
      </c>
      <c r="D50" s="233" t="s">
        <v>759</v>
      </c>
      <c r="E50" s="234" t="s">
        <v>52</v>
      </c>
      <c r="F50" s="235"/>
      <c r="G50" s="236">
        <f>ВводДанных!V119-ВводДанных!V122-ВводДанных!X195</f>
        <v>3002</v>
      </c>
      <c r="H50" s="237">
        <f t="shared" si="0"/>
        <v>0</v>
      </c>
      <c r="I50" s="238">
        <f>ВводДанных!V65-ВводДанных!V62-ВводДанных!V64-ВводДанных!V47-ВводДанных!V45</f>
        <v>23105</v>
      </c>
      <c r="J50" s="239">
        <f>ВводДанных!X65-ВводДанных!X62-ВводДанных!X64-ВводДанных!X47-ВводДанных!X45</f>
        <v>26090</v>
      </c>
      <c r="K50" s="237">
        <f t="shared" si="1"/>
        <v>24597.5</v>
      </c>
      <c r="L50" s="270"/>
      <c r="M50" s="263">
        <f>IF(K50=0,0,G50/K50)</f>
        <v>0.1220449232645594</v>
      </c>
      <c r="N50" s="300" t="s">
        <v>95</v>
      </c>
    </row>
    <row r="51" spans="2:14" ht="12">
      <c r="B51" s="231">
        <v>41</v>
      </c>
      <c r="C51" s="232" t="s">
        <v>695</v>
      </c>
      <c r="D51" s="249" t="s">
        <v>760</v>
      </c>
      <c r="E51" s="250" t="s">
        <v>765</v>
      </c>
      <c r="F51" s="251"/>
      <c r="G51" s="252">
        <f>ВводДанных!V109</f>
        <v>13819</v>
      </c>
      <c r="H51" s="237">
        <f t="shared" si="0"/>
        <v>0</v>
      </c>
      <c r="I51" s="238"/>
      <c r="J51" s="239">
        <f>ВводДанных!V96</f>
        <v>79229</v>
      </c>
      <c r="K51" s="237">
        <f t="shared" si="1"/>
        <v>0</v>
      </c>
      <c r="L51" s="270"/>
      <c r="M51" s="263">
        <f t="shared" si="7"/>
        <v>0.1744184578878946</v>
      </c>
      <c r="N51" s="300" t="s">
        <v>96</v>
      </c>
    </row>
    <row r="52" spans="2:14" ht="12">
      <c r="B52" s="231">
        <v>42</v>
      </c>
      <c r="C52" s="232" t="s">
        <v>696</v>
      </c>
      <c r="D52" s="249" t="s">
        <v>761</v>
      </c>
      <c r="E52" s="250" t="s">
        <v>766</v>
      </c>
      <c r="F52" s="251"/>
      <c r="G52" s="252">
        <f>ВводДанных!V109</f>
        <v>13819</v>
      </c>
      <c r="H52" s="237">
        <f t="shared" si="0"/>
        <v>0</v>
      </c>
      <c r="I52" s="238"/>
      <c r="J52" s="239">
        <f>ВводДанных!V101+ВводДанных!V107+ВводДанных!V108</f>
        <v>65410</v>
      </c>
      <c r="K52" s="237">
        <f t="shared" si="1"/>
        <v>0</v>
      </c>
      <c r="L52" s="270"/>
      <c r="M52" s="263">
        <f t="shared" si="7"/>
        <v>0.21126739030729247</v>
      </c>
      <c r="N52" s="300" t="s">
        <v>53</v>
      </c>
    </row>
    <row r="53" spans="2:14" ht="12">
      <c r="B53" s="231">
        <v>43</v>
      </c>
      <c r="C53" s="232" t="s">
        <v>697</v>
      </c>
      <c r="D53" s="233" t="s">
        <v>745</v>
      </c>
      <c r="E53" s="234" t="s">
        <v>12</v>
      </c>
      <c r="F53" s="235"/>
      <c r="G53" s="236">
        <f>ВводДанных!V119-ВводДанных!V122</f>
        <v>3002</v>
      </c>
      <c r="H53" s="237">
        <f t="shared" si="0"/>
        <v>0</v>
      </c>
      <c r="I53" s="238"/>
      <c r="J53" s="239">
        <f>((ВводДанных!V51-ВводДанных!V62-ВводДанных!V64-ВводДанных!V47-ВводДанных!V45)+(ВводДанных!X51-ВводДанных!X62-ВводДанных!X64-ВводДанных!X47-ВводДанных!X45))/2</f>
        <v>133052</v>
      </c>
      <c r="K53" s="237">
        <f t="shared" si="1"/>
        <v>0</v>
      </c>
      <c r="L53" s="270"/>
      <c r="M53" s="263">
        <f t="shared" si="7"/>
        <v>0.022562607100983074</v>
      </c>
      <c r="N53" s="300" t="s">
        <v>54</v>
      </c>
    </row>
    <row r="54" spans="2:14" ht="12">
      <c r="B54" s="231">
        <v>44</v>
      </c>
      <c r="C54" s="232" t="s">
        <v>698</v>
      </c>
      <c r="D54" s="233" t="s">
        <v>745</v>
      </c>
      <c r="E54" s="234" t="s">
        <v>757</v>
      </c>
      <c r="F54" s="235"/>
      <c r="G54" s="236">
        <f>ВводДанных!V119-ВводДанных!V122</f>
        <v>3002</v>
      </c>
      <c r="H54" s="237">
        <f t="shared" si="0"/>
        <v>0</v>
      </c>
      <c r="I54" s="238"/>
      <c r="J54" s="239">
        <f>((ВводДанных!V65-ВводДанных!V62-ВводДанных!V64-ВводДанных!V47-ВводДанных!V45)+(ВводДанных!X65-ВводДанных!X62-ВводДанных!X64-ВводДанных!X47-ВводДанных!X45))/2</f>
        <v>24597.5</v>
      </c>
      <c r="K54" s="237">
        <f t="shared" si="1"/>
        <v>0</v>
      </c>
      <c r="L54" s="270"/>
      <c r="M54" s="263">
        <f t="shared" si="7"/>
        <v>0.1220449232645594</v>
      </c>
      <c r="N54" s="300" t="s">
        <v>55</v>
      </c>
    </row>
    <row r="55" spans="2:14" ht="12.75" thickBot="1">
      <c r="B55" s="240">
        <v>45</v>
      </c>
      <c r="C55" s="241" t="s">
        <v>699</v>
      </c>
      <c r="D55" s="242" t="s">
        <v>757</v>
      </c>
      <c r="E55" s="243" t="s">
        <v>767</v>
      </c>
      <c r="F55" s="244"/>
      <c r="G55" s="245">
        <f>((ВводДанных!V65-ВводДанных!V62-ВводДанных!V64-ВводДанных!V47-ВводДанных!V45)+(ВводДанных!X65-ВводДанных!X62-ВводДанных!X64-ВводДанных!X47-ВводДанных!X45))/2</f>
        <v>24597.5</v>
      </c>
      <c r="H55" s="246">
        <f t="shared" si="0"/>
        <v>0</v>
      </c>
      <c r="I55" s="247"/>
      <c r="J55" s="248">
        <f>ВводДанных!V119-ВводДанных!V122</f>
        <v>3002</v>
      </c>
      <c r="K55" s="246">
        <f t="shared" si="1"/>
        <v>0</v>
      </c>
      <c r="L55" s="272"/>
      <c r="M55" s="273">
        <f t="shared" si="7"/>
        <v>8.193704197201866</v>
      </c>
      <c r="N55" s="300" t="s">
        <v>97</v>
      </c>
    </row>
    <row r="56" spans="2:14" ht="12">
      <c r="B56" s="202">
        <v>46</v>
      </c>
      <c r="C56" s="203" t="s">
        <v>700</v>
      </c>
      <c r="D56" s="274" t="s">
        <v>1</v>
      </c>
      <c r="E56" s="275" t="s">
        <v>768</v>
      </c>
      <c r="F56" s="276"/>
      <c r="G56" s="277">
        <f>ВводДанных!V119-ВводДанных!V122-ВводДанных!X196</f>
        <v>3002</v>
      </c>
      <c r="H56" s="208">
        <f t="shared" si="0"/>
        <v>0</v>
      </c>
      <c r="I56" s="209"/>
      <c r="J56" s="210">
        <f>ВводДанных!W198</f>
        <v>0</v>
      </c>
      <c r="K56" s="208">
        <f t="shared" si="1"/>
        <v>0</v>
      </c>
      <c r="L56" s="294"/>
      <c r="M56" s="284">
        <f t="shared" si="7"/>
        <v>0</v>
      </c>
      <c r="N56" s="300" t="s">
        <v>56</v>
      </c>
    </row>
    <row r="57" spans="2:14" ht="12">
      <c r="B57" s="212">
        <v>47</v>
      </c>
      <c r="C57" s="3" t="s">
        <v>701</v>
      </c>
      <c r="D57" s="184" t="s">
        <v>769</v>
      </c>
      <c r="E57" s="196" t="s">
        <v>770</v>
      </c>
      <c r="F57" s="199"/>
      <c r="G57" s="185">
        <f>ВводДанных!X200</f>
        <v>0</v>
      </c>
      <c r="H57" s="198">
        <f t="shared" si="0"/>
        <v>0</v>
      </c>
      <c r="I57" s="200"/>
      <c r="J57" s="4">
        <f>ВводДанных!V129</f>
        <v>0</v>
      </c>
      <c r="K57" s="198">
        <f t="shared" si="1"/>
        <v>0</v>
      </c>
      <c r="L57" s="295"/>
      <c r="M57" s="283">
        <f t="shared" si="7"/>
        <v>0</v>
      </c>
      <c r="N57" s="300" t="s">
        <v>98</v>
      </c>
    </row>
    <row r="58" spans="2:14" ht="12">
      <c r="B58" s="212">
        <v>48</v>
      </c>
      <c r="C58" s="3" t="s">
        <v>702</v>
      </c>
      <c r="D58" s="184" t="s">
        <v>771</v>
      </c>
      <c r="E58" s="196" t="s">
        <v>772</v>
      </c>
      <c r="F58" s="199"/>
      <c r="G58" s="185">
        <f>ВводДанных!V129</f>
        <v>0</v>
      </c>
      <c r="H58" s="198">
        <f t="shared" si="0"/>
        <v>0</v>
      </c>
      <c r="I58" s="200"/>
      <c r="J58" s="4">
        <f>ВводДанных!W200</f>
        <v>0</v>
      </c>
      <c r="K58" s="198">
        <f t="shared" si="1"/>
        <v>0</v>
      </c>
      <c r="L58" s="295"/>
      <c r="M58" s="283">
        <f t="shared" si="7"/>
        <v>0</v>
      </c>
      <c r="N58" s="300" t="s">
        <v>57</v>
      </c>
    </row>
    <row r="59" spans="2:14" ht="12">
      <c r="B59" s="212">
        <v>49</v>
      </c>
      <c r="C59" s="3" t="s">
        <v>703</v>
      </c>
      <c r="D59" s="184" t="s">
        <v>773</v>
      </c>
      <c r="E59" s="196" t="s">
        <v>774</v>
      </c>
      <c r="F59" s="199"/>
      <c r="G59" s="185">
        <f>ВводДанных!V129</f>
        <v>0</v>
      </c>
      <c r="H59" s="198">
        <f t="shared" si="0"/>
        <v>0</v>
      </c>
      <c r="I59" s="200"/>
      <c r="J59" s="4">
        <f>ВводДанных!V129</f>
        <v>0</v>
      </c>
      <c r="K59" s="198">
        <f t="shared" si="1"/>
        <v>0</v>
      </c>
      <c r="L59" s="295"/>
      <c r="M59" s="283">
        <f t="shared" si="7"/>
        <v>0</v>
      </c>
      <c r="N59" s="300" t="s">
        <v>58</v>
      </c>
    </row>
    <row r="60" spans="2:14" ht="12.75" thickBot="1">
      <c r="B60" s="213">
        <v>50</v>
      </c>
      <c r="C60" s="214" t="s">
        <v>704</v>
      </c>
      <c r="D60" s="279" t="s">
        <v>775</v>
      </c>
      <c r="E60" s="280" t="s">
        <v>776</v>
      </c>
      <c r="F60" s="281"/>
      <c r="G60" s="282">
        <f>ВводДанных!X200</f>
        <v>0</v>
      </c>
      <c r="H60" s="219">
        <f t="shared" si="0"/>
        <v>0</v>
      </c>
      <c r="I60" s="220"/>
      <c r="J60" s="221">
        <f>ВводДанных!W199</f>
        <v>0</v>
      </c>
      <c r="K60" s="219">
        <f t="shared" si="1"/>
        <v>0</v>
      </c>
      <c r="L60" s="296"/>
      <c r="M60" s="285">
        <f t="shared" si="7"/>
        <v>0</v>
      </c>
      <c r="N60" s="300" t="s">
        <v>59</v>
      </c>
    </row>
    <row r="61" spans="2:14" ht="13.5">
      <c r="B61" s="222">
        <v>51</v>
      </c>
      <c r="C61" s="223" t="s">
        <v>706</v>
      </c>
      <c r="D61" s="286" t="s">
        <v>777</v>
      </c>
      <c r="E61" s="287" t="s">
        <v>782</v>
      </c>
      <c r="F61" s="288">
        <f>ВводДанных!V50-ВводДанных!V47-ВводДанных!V45-ВводДанных!V42</f>
        <v>165753</v>
      </c>
      <c r="G61" s="289">
        <f>ВводДанных!X50-ВводДанных!X47-ВводДанных!X45-ВводДанных!X42</f>
        <v>97086</v>
      </c>
      <c r="H61" s="228">
        <f t="shared" si="0"/>
        <v>131419.5</v>
      </c>
      <c r="I61" s="229"/>
      <c r="J61" s="230">
        <f>((ВводДанных!V51-ВводДанных!V62-ВводДанных!V64-ВводДанных!V47-ВводДанных!V45)+(ВводДанных!X51-ВводДанных!X62-ВводДанных!X64-ВводДанных!X47-ВводДанных!X45))/2</f>
        <v>133052</v>
      </c>
      <c r="K61" s="228">
        <f t="shared" si="1"/>
        <v>0</v>
      </c>
      <c r="L61" s="297">
        <f>1.2*M61</f>
        <v>0.8756215614947539</v>
      </c>
      <c r="M61" s="278">
        <f t="shared" si="7"/>
        <v>0.7296846345789616</v>
      </c>
      <c r="N61" s="300" t="s">
        <v>61</v>
      </c>
    </row>
    <row r="62" spans="2:14" ht="13.5">
      <c r="B62" s="231">
        <v>52</v>
      </c>
      <c r="C62" s="232" t="s">
        <v>707</v>
      </c>
      <c r="D62" s="249" t="s">
        <v>778</v>
      </c>
      <c r="E62" s="250" t="s">
        <v>782</v>
      </c>
      <c r="F62" s="251">
        <f>ВводДанных!V61+ВводДанных!V63</f>
        <v>15420</v>
      </c>
      <c r="G62" s="252">
        <f>ВводДанных!X61+ВводДанных!X63</f>
        <v>18405</v>
      </c>
      <c r="H62" s="237">
        <f t="shared" si="0"/>
        <v>16912.5</v>
      </c>
      <c r="I62" s="238"/>
      <c r="J62" s="239">
        <f>((ВводДанных!V51-ВводДанных!V62-ВводДанных!V64-ВводДанных!V47-ВводДанных!V45)+(ВводДанных!X51-ВводДанных!X62-ВводДанных!X64-ВводДанных!X47-ВводДанных!X45))/2</f>
        <v>133052</v>
      </c>
      <c r="K62" s="237">
        <f t="shared" si="1"/>
        <v>0</v>
      </c>
      <c r="L62" s="298">
        <f>1.4*M62</f>
        <v>0.19366112497369448</v>
      </c>
      <c r="M62" s="263">
        <f t="shared" si="7"/>
        <v>0.13832937498121034</v>
      </c>
      <c r="N62" s="300" t="s">
        <v>60</v>
      </c>
    </row>
    <row r="63" spans="2:14" ht="13.5">
      <c r="B63" s="231">
        <v>53</v>
      </c>
      <c r="C63" s="232" t="s">
        <v>708</v>
      </c>
      <c r="D63" s="249" t="s">
        <v>767</v>
      </c>
      <c r="E63" s="250" t="s">
        <v>782</v>
      </c>
      <c r="F63" s="251"/>
      <c r="G63" s="252">
        <f>ВводДанных!V119-ВводДанных!V122</f>
        <v>3002</v>
      </c>
      <c r="H63" s="237">
        <f t="shared" si="0"/>
        <v>0</v>
      </c>
      <c r="I63" s="238"/>
      <c r="J63" s="239">
        <f>((ВводДанных!V51-ВводДанных!V62-ВводДанных!V64-ВводДанных!V47-ВводДанных!V45)+(ВводДанных!X51-ВводДанных!X62-ВводДанных!X64-ВводДанных!X47-ВводДанных!X45))/2</f>
        <v>133052</v>
      </c>
      <c r="K63" s="237">
        <f t="shared" si="1"/>
        <v>0</v>
      </c>
      <c r="L63" s="298">
        <f>3.3*M63</f>
        <v>0.07445660343324415</v>
      </c>
      <c r="M63" s="263">
        <f t="shared" si="7"/>
        <v>0.022562607100983074</v>
      </c>
      <c r="N63" s="300" t="s">
        <v>62</v>
      </c>
    </row>
    <row r="64" spans="2:14" ht="13.5">
      <c r="B64" s="231">
        <v>54</v>
      </c>
      <c r="C64" s="232" t="s">
        <v>709</v>
      </c>
      <c r="D64" s="249" t="s">
        <v>779</v>
      </c>
      <c r="E64" s="250" t="s">
        <v>782</v>
      </c>
      <c r="F64" s="251">
        <f>ВводДанных!V57</f>
        <v>7685</v>
      </c>
      <c r="G64" s="252">
        <f>ВводДанных!X57</f>
        <v>7685</v>
      </c>
      <c r="H64" s="237">
        <f t="shared" si="0"/>
        <v>7685</v>
      </c>
      <c r="I64" s="238"/>
      <c r="J64" s="239">
        <f>((ВводДанных!V51-ВводДанных!V62-ВводДанных!V64-ВводДанных!V47-ВводДанных!V45)+(ВводДанных!X51-ВводДанных!X62-ВводДанных!X64-ВводДанных!X47-ВводДанных!X45))/2</f>
        <v>133052</v>
      </c>
      <c r="K64" s="237">
        <f t="shared" si="1"/>
        <v>0</v>
      </c>
      <c r="L64" s="298">
        <f>0.6*M64</f>
        <v>0.03465562336530078</v>
      </c>
      <c r="M64" s="263">
        <f t="shared" si="7"/>
        <v>0.057759372275501306</v>
      </c>
      <c r="N64" s="300" t="s">
        <v>63</v>
      </c>
    </row>
    <row r="65" spans="2:14" ht="14.25" thickBot="1">
      <c r="B65" s="240">
        <v>55</v>
      </c>
      <c r="C65" s="241" t="s">
        <v>710</v>
      </c>
      <c r="D65" s="290" t="s">
        <v>765</v>
      </c>
      <c r="E65" s="291" t="s">
        <v>782</v>
      </c>
      <c r="F65" s="292"/>
      <c r="G65" s="293">
        <f>ВводДанных!V96</f>
        <v>79229</v>
      </c>
      <c r="H65" s="246">
        <f t="shared" si="0"/>
        <v>0</v>
      </c>
      <c r="I65" s="247"/>
      <c r="J65" s="248">
        <f>((ВводДанных!V51-ВводДанных!V62-ВводДанных!V64-ВводДанных!V47-ВводДанных!V45)+(ВводДанных!X51-ВводДанных!X62-ВводДанных!X64-ВводДанных!X47-ВводДанных!X45))/2</f>
        <v>133052</v>
      </c>
      <c r="K65" s="246">
        <f t="shared" si="1"/>
        <v>0</v>
      </c>
      <c r="L65" s="299">
        <f>1*M65</f>
        <v>0.5954739500345729</v>
      </c>
      <c r="M65" s="265">
        <f t="shared" si="7"/>
        <v>0.5954739500345729</v>
      </c>
      <c r="N65" s="300" t="s">
        <v>64</v>
      </c>
    </row>
    <row r="66" spans="2:14" ht="13.5">
      <c r="B66" s="202">
        <v>56</v>
      </c>
      <c r="C66" s="203" t="s">
        <v>711</v>
      </c>
      <c r="D66" s="274" t="s">
        <v>780</v>
      </c>
      <c r="E66" s="275" t="s">
        <v>781</v>
      </c>
      <c r="F66" s="276">
        <f>ВводДанных!V46+ВводДанных!V48</f>
        <v>14919</v>
      </c>
      <c r="G66" s="277">
        <f>ВводДанных!X46+ВводДанных!X48</f>
        <v>757</v>
      </c>
      <c r="H66" s="208">
        <f t="shared" si="0"/>
        <v>7838</v>
      </c>
      <c r="I66" s="209">
        <f>ВводДанных!V72+ВводДанных!V74+ВводДанных!V86</f>
        <v>143983</v>
      </c>
      <c r="J66" s="210">
        <f>ВводДанных!X72+ВводДанных!X74+ВводДанных!X86</f>
        <v>71970</v>
      </c>
      <c r="K66" s="208">
        <f t="shared" si="1"/>
        <v>107976.5</v>
      </c>
      <c r="L66" s="301">
        <f>IF(M66&gt;=0.5,20,IF(AND(M66&lt;0.5,M66&gt;=0.4),16,IF(AND(M66&lt;0.4,M66&gt;=0.3),12,IF(AND(M66&lt;0.3,M66&gt;=0.2),8,IF(M66&lt;0.2,4,0)))))</f>
        <v>4</v>
      </c>
      <c r="M66" s="284">
        <f t="shared" si="7"/>
        <v>0.010518271502014728</v>
      </c>
      <c r="N66" s="300" t="s">
        <v>99</v>
      </c>
    </row>
    <row r="67" spans="2:14" ht="13.5">
      <c r="B67" s="212">
        <v>57</v>
      </c>
      <c r="C67" s="3" t="s">
        <v>712</v>
      </c>
      <c r="D67" s="184" t="s">
        <v>783</v>
      </c>
      <c r="E67" s="196" t="s">
        <v>781</v>
      </c>
      <c r="F67" s="199">
        <f>ВводДанных!V43+ВводДанных!V46+ВводДанных!V48</f>
        <v>158588</v>
      </c>
      <c r="G67" s="185">
        <f>ВводДанных!X43+ВводДанных!X46+ВводДанных!X48</f>
        <v>91749</v>
      </c>
      <c r="H67" s="198">
        <f t="shared" si="0"/>
        <v>125168.5</v>
      </c>
      <c r="I67" s="200">
        <f>ВводДанных!V72+ВводДанных!V74+ВводДанных!V86</f>
        <v>143983</v>
      </c>
      <c r="J67" s="4">
        <f>ВводДанных!X72+ВводДанных!X74+ВводДанных!X86</f>
        <v>71970</v>
      </c>
      <c r="K67" s="198">
        <f t="shared" si="1"/>
        <v>107976.5</v>
      </c>
      <c r="L67" s="302">
        <f>IF(M67&gt;=1.5,18,IF(AND(M67&lt;1.5,M67&gt;=1.4),15,IF(AND(M67&lt;1.4,M67&gt;=1.3),12,IF(AND(M67&lt;1.3,M67&gt;=1.2),7.5,IF(M67&lt;1.2,3,0)))))</f>
        <v>7.5</v>
      </c>
      <c r="M67" s="283">
        <f t="shared" si="7"/>
        <v>1.274822842851188</v>
      </c>
      <c r="N67" s="300" t="s">
        <v>100</v>
      </c>
    </row>
    <row r="68" spans="2:14" ht="13.5">
      <c r="B68" s="212">
        <v>58</v>
      </c>
      <c r="C68" s="3" t="s">
        <v>713</v>
      </c>
      <c r="D68" s="184" t="s">
        <v>784</v>
      </c>
      <c r="E68" s="196" t="s">
        <v>781</v>
      </c>
      <c r="F68" s="199">
        <f>ВводДанных!V32+ВводДанных!V42+ВводДанных!V43+ВводДанных!V46+ВводДанных!V48+ВводДанных!V49</f>
        <v>165741</v>
      </c>
      <c r="G68" s="185">
        <f>ВводДанных!X32+ВводДанных!X42+ВводДанных!X43+ВводДанных!X46+ВводДанных!X48+ВводДанных!X49</f>
        <v>97083</v>
      </c>
      <c r="H68" s="198">
        <f t="shared" si="0"/>
        <v>131412</v>
      </c>
      <c r="I68" s="200">
        <f>ВводДанных!V72+ВводДанных!V74+ВводДанных!V86</f>
        <v>143983</v>
      </c>
      <c r="J68" s="4">
        <f>ВводДанных!X72+ВводДанных!X74+ВводДанных!X86</f>
        <v>71970</v>
      </c>
      <c r="K68" s="198">
        <f t="shared" si="1"/>
        <v>107976.5</v>
      </c>
      <c r="L68" s="302">
        <f>IF(M68&gt;=2,16.5,IF(AND(M68&lt;2,M68&gt;=1.8),13.5,IF(AND(M68&lt;1.8,M68&gt;=1.5),9,IF(AND(M68&lt;1.5,M68&gt;=1.2),4.5,IF(M68&lt;1.2,1.5,0)))))</f>
        <v>4.5</v>
      </c>
      <c r="M68" s="283">
        <f t="shared" si="7"/>
        <v>1.348937057107128</v>
      </c>
      <c r="N68" s="300" t="s">
        <v>101</v>
      </c>
    </row>
    <row r="69" spans="2:14" ht="13.5">
      <c r="B69" s="212">
        <v>59</v>
      </c>
      <c r="C69" s="3" t="s">
        <v>714</v>
      </c>
      <c r="D69" s="184" t="s">
        <v>785</v>
      </c>
      <c r="E69" s="196" t="s">
        <v>786</v>
      </c>
      <c r="F69" s="199">
        <f>ВводДанных!V65-ВводДанных!V30</f>
        <v>20981</v>
      </c>
      <c r="G69" s="185">
        <f>ВводДанных!X65-ВводДанных!X30</f>
        <v>24949</v>
      </c>
      <c r="H69" s="198">
        <f t="shared" si="0"/>
        <v>22965</v>
      </c>
      <c r="I69" s="200">
        <f>ВводДанных!V50</f>
        <v>165753</v>
      </c>
      <c r="J69" s="4">
        <f>ВводДанных!X50</f>
        <v>97086</v>
      </c>
      <c r="K69" s="198">
        <f t="shared" si="1"/>
        <v>131419.5</v>
      </c>
      <c r="L69" s="302">
        <f>IF(M69&gt;=0.5,15,IF(AND(M69&lt;0.5,M69&gt;=0.4),12,IF(AND(M69&lt;0.4,M69&gt;=0.3),9,IF(AND(M69&lt;0.3,M69&gt;=0.2),6,IF(M69&lt;0.2,3,0)))))</f>
        <v>6</v>
      </c>
      <c r="M69" s="283">
        <f t="shared" si="7"/>
        <v>0.2569783490925571</v>
      </c>
      <c r="N69" s="300" t="s">
        <v>65</v>
      </c>
    </row>
    <row r="70" spans="2:14" ht="13.5">
      <c r="B70" s="212">
        <v>60</v>
      </c>
      <c r="C70" s="3" t="s">
        <v>715</v>
      </c>
      <c r="D70" s="184" t="s">
        <v>787</v>
      </c>
      <c r="E70" s="196" t="s">
        <v>788</v>
      </c>
      <c r="F70" s="199">
        <f>ВводДанных!V65</f>
        <v>23105</v>
      </c>
      <c r="G70" s="185">
        <f>ВводДанных!X65</f>
        <v>26090</v>
      </c>
      <c r="H70" s="198">
        <f t="shared" si="0"/>
        <v>24597.5</v>
      </c>
      <c r="I70" s="200">
        <f>ВводДанных!V88</f>
        <v>167877</v>
      </c>
      <c r="J70" s="4">
        <f>ВводДанных!X88</f>
        <v>98227</v>
      </c>
      <c r="K70" s="198">
        <f t="shared" si="1"/>
        <v>133052</v>
      </c>
      <c r="L70" s="302">
        <f>IF(M70&gt;=0.6,17,IF(AND(M70&lt;0.6,M70&gt;=0.56),14.2,IF(AND(M70&lt;0.56,M70&gt;=0.5),9.4,IF(AND(M70&lt;0.5,M70&gt;=0.44),4.4,IF(M70&lt;0.44,1,0)))))</f>
        <v>1</v>
      </c>
      <c r="M70" s="283">
        <f t="shared" si="7"/>
        <v>0.26560925203864516</v>
      </c>
      <c r="N70" s="300" t="s">
        <v>102</v>
      </c>
    </row>
    <row r="71" spans="2:14" ht="14.25" thickBot="1">
      <c r="B71" s="213">
        <v>61</v>
      </c>
      <c r="C71" s="214" t="s">
        <v>716</v>
      </c>
      <c r="D71" s="279" t="s">
        <v>787</v>
      </c>
      <c r="E71" s="280" t="s">
        <v>789</v>
      </c>
      <c r="F71" s="281">
        <f>ВводДанных!V65</f>
        <v>23105</v>
      </c>
      <c r="G71" s="282">
        <f>ВводДанных!X65</f>
        <v>26090</v>
      </c>
      <c r="H71" s="219">
        <f t="shared" si="0"/>
        <v>24597.5</v>
      </c>
      <c r="I71" s="220">
        <f>ВводДанных!V32+ВводДанных!V41</f>
        <v>6033</v>
      </c>
      <c r="J71" s="221">
        <f>ВводДанных!X32+ВводДанных!X41</f>
        <v>4480</v>
      </c>
      <c r="K71" s="219">
        <f t="shared" si="1"/>
        <v>5256.5</v>
      </c>
      <c r="L71" s="303">
        <f>IF(M71&gt;=1,13.5,IF(AND(M71&lt;1,M71&gt;=0.9),11,IF(AND(M71&lt;0.9,M71&gt;=0.8),8.5,IF(AND(M71&lt;0.8,M71&gt;=0.65),4.8,IF(M71&lt;0.65,1,0)))))</f>
        <v>13.5</v>
      </c>
      <c r="M71" s="285">
        <f t="shared" si="7"/>
        <v>5.823660714285714</v>
      </c>
      <c r="N71" s="300" t="s">
        <v>66</v>
      </c>
    </row>
    <row r="72" spans="2:14" ht="12">
      <c r="B72" s="305">
        <v>62</v>
      </c>
      <c r="C72" s="306" t="s">
        <v>22</v>
      </c>
      <c r="D72" s="307" t="s">
        <v>21</v>
      </c>
      <c r="E72" s="314" t="str">
        <f>IF(M72&lt;=1.8,E75,IF(AND(M72&gt;1.8,M72&lt;=2.7),E76,IF(AND(M72&gt;2.7,M72&lt;=2.9),E77,IF(M72&gt;=2.91,E78,""))))</f>
        <v>вероятность банкротства  высокая</v>
      </c>
      <c r="F72" s="308"/>
      <c r="G72" s="308"/>
      <c r="H72" s="308"/>
      <c r="I72" s="309"/>
      <c r="J72" s="317" t="s">
        <v>28</v>
      </c>
      <c r="K72" s="317"/>
      <c r="L72" s="318"/>
      <c r="M72" s="319">
        <f>SUM(L61:L65)</f>
        <v>1.7738688633015662</v>
      </c>
      <c r="N72" s="300" t="s">
        <v>103</v>
      </c>
    </row>
    <row r="73" spans="2:14" ht="12.75" thickBot="1">
      <c r="B73" s="310">
        <v>63</v>
      </c>
      <c r="C73" s="311" t="s">
        <v>20</v>
      </c>
      <c r="D73" s="315" t="str">
        <f>CONCATENATE("Предприятие по сумме балов (",ROUND(M73,2),") относится к")</f>
        <v>Предприятие по сумме балов (36,5) относится к</v>
      </c>
      <c r="E73" s="316" t="str">
        <f>IF(M73&gt;=81.8,E79,IF(AND(M73&lt;81.8,M73&gt;=60),E80,IF(AND(M73&lt;60,M73&gt;=35.3),E81,IF(AND(M73&lt;35.3,M73&gt;=13.6),E82,IF(M73&lt;13.6,E83,"")))))</f>
        <v>третьей группе</v>
      </c>
      <c r="F73" s="312"/>
      <c r="G73" s="312"/>
      <c r="H73" s="312"/>
      <c r="I73" s="313"/>
      <c r="J73" s="320" t="s">
        <v>27</v>
      </c>
      <c r="K73" s="320"/>
      <c r="L73" s="321"/>
      <c r="M73" s="322">
        <f>SUM(L66:L71)</f>
        <v>36.5</v>
      </c>
      <c r="N73" s="300" t="s">
        <v>104</v>
      </c>
    </row>
    <row r="75" ht="15">
      <c r="E75" t="s">
        <v>23</v>
      </c>
    </row>
    <row r="76" ht="15">
      <c r="E76" t="s">
        <v>24</v>
      </c>
    </row>
    <row r="77" ht="15">
      <c r="E77" t="s">
        <v>25</v>
      </c>
    </row>
    <row r="78" ht="15">
      <c r="E78" t="s">
        <v>26</v>
      </c>
    </row>
    <row r="79" ht="15">
      <c r="E79" s="304" t="s">
        <v>29</v>
      </c>
    </row>
    <row r="80" ht="15">
      <c r="E80" s="304" t="s">
        <v>30</v>
      </c>
    </row>
    <row r="81" ht="15">
      <c r="E81" s="304" t="s">
        <v>31</v>
      </c>
    </row>
    <row r="82" ht="15">
      <c r="E82" s="304" t="s">
        <v>32</v>
      </c>
    </row>
    <row r="83" ht="15">
      <c r="E83" s="304" t="s">
        <v>33</v>
      </c>
    </row>
  </sheetData>
  <sheetProtection password="D1E2" sheet="1" objects="1" scenarios="1" select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Комаров Г.И.</dc:creator>
  <cp:keywords/>
  <dc:description/>
  <cp:lastModifiedBy>User</cp:lastModifiedBy>
  <cp:lastPrinted>2012-01-23T05:36:02Z</cp:lastPrinted>
  <dcterms:created xsi:type="dcterms:W3CDTF">2003-12-15T06:09:02Z</dcterms:created>
  <dcterms:modified xsi:type="dcterms:W3CDTF">2012-01-23T05:50:44Z</dcterms:modified>
  <cp:category/>
  <cp:version/>
  <cp:contentType/>
  <cp:contentStatus/>
</cp:coreProperties>
</file>