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45" windowWidth="6420" windowHeight="8955" tabRatio="917" firstSheet="5" activeTab="11"/>
  </bookViews>
  <sheets>
    <sheet name="Схема бюджетирования" sheetId="1" r:id="rId1"/>
    <sheet name="Содержание" sheetId="2" r:id="rId2"/>
    <sheet name="Классификаторы" sheetId="3" r:id="rId3"/>
    <sheet name="Технологическая карта 1" sheetId="4" r:id="rId4"/>
    <sheet name="Технологическая карта 2 (вспом)" sheetId="5" r:id="rId5"/>
    <sheet name="Оборачиваемость" sheetId="6" r:id="rId6"/>
    <sheet name="Продажи" sheetId="7" r:id="rId7"/>
    <sheet name="Объем пр-ва" sheetId="8" r:id="rId8"/>
    <sheet name="Программа пр-ва" sheetId="9" r:id="rId9"/>
    <sheet name="Закупки сырья" sheetId="10" r:id="rId10"/>
    <sheet name="Расчет зарплаты" sheetId="11" r:id="rId11"/>
    <sheet name="Общепроизвод расходы" sheetId="12" r:id="rId12"/>
    <sheet name="Адм и Ком" sheetId="13" r:id="rId13"/>
    <sheet name="БДР" sheetId="14" r:id="rId14"/>
    <sheet name="Инвестиции" sheetId="15" r:id="rId15"/>
    <sheet name="ФинД" sheetId="16" r:id="rId16"/>
    <sheet name="Баланс" sheetId="17" r:id="rId17"/>
    <sheet name="ДДС-Косв" sheetId="18" r:id="rId18"/>
  </sheets>
  <externalReferences>
    <externalReference r:id="rId21"/>
  </externalReferences>
  <definedNames>
    <definedName name="MmExcelLinker_0E32B31D_78E2_4FB8_B834_08C209CD8FA2">'БДР'!$E$21:$E$21</definedName>
    <definedName name="измерение">'[1]Лист5'!$C$71:$C$76</definedName>
    <definedName name="_xlnm.Print_Area" localSheetId="2">'Классификаторы'!$A$1:$B$107</definedName>
    <definedName name="_xlnm.Print_Area" localSheetId="3">'Технологическая карта 1'!$A$1:$DW$126</definedName>
  </definedNames>
  <calcPr fullCalcOnLoad="1"/>
</workbook>
</file>

<file path=xl/sharedStrings.xml><?xml version="1.0" encoding="utf-8"?>
<sst xmlns="http://schemas.openxmlformats.org/spreadsheetml/2006/main" count="3279" uniqueCount="417">
  <si>
    <t>Код</t>
  </si>
  <si>
    <t>Наименование элемента справочника</t>
  </si>
  <si>
    <t>Справочник статей затрат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</si>
  <si>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</si>
  <si>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</si>
  <si>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</si>
  <si>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</si>
  <si>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</si>
  <si>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</si>
  <si>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</si>
  <si>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</si>
  <si>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</si>
  <si>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3</t>
  </si>
  <si>
    <t>3.1</t>
  </si>
  <si>
    <t>3.2</t>
  </si>
  <si>
    <t>4</t>
  </si>
  <si>
    <t>Коммерческие расходы</t>
  </si>
  <si>
    <t>4.1</t>
  </si>
  <si>
    <t>Реклама</t>
  </si>
  <si>
    <t>4.2</t>
  </si>
  <si>
    <t>4.3</t>
  </si>
  <si>
    <t>4.4</t>
  </si>
  <si>
    <t>4.5</t>
  </si>
  <si>
    <t xml:space="preserve"> -</t>
  </si>
  <si>
    <t>Ц_0</t>
  </si>
  <si>
    <t>Компания</t>
  </si>
  <si>
    <t>Ц_1</t>
  </si>
  <si>
    <t>Ц_2</t>
  </si>
  <si>
    <t>Ц_3</t>
  </si>
  <si>
    <t>Ц_4</t>
  </si>
  <si>
    <t>Ц_6</t>
  </si>
  <si>
    <t>Ц_7</t>
  </si>
  <si>
    <t>Ц_8</t>
  </si>
  <si>
    <t>Администрация</t>
  </si>
  <si>
    <t>Ц_9</t>
  </si>
  <si>
    <t>Ц_10</t>
  </si>
  <si>
    <t>Сырье и материалы</t>
  </si>
  <si>
    <t>Прямая з/п с отчислениями</t>
  </si>
  <si>
    <t>2.5</t>
  </si>
  <si>
    <t>2.6</t>
  </si>
  <si>
    <t>2.7</t>
  </si>
  <si>
    <t>2.8</t>
  </si>
  <si>
    <t>Услуги вспомогательных цехов</t>
  </si>
  <si>
    <t>Услуги сторонних организаций</t>
  </si>
  <si>
    <t>Административные расходы</t>
  </si>
  <si>
    <t>Прочие административные расходы</t>
  </si>
  <si>
    <t>Скидки</t>
  </si>
  <si>
    <t>Прочие коммерческие расходы</t>
  </si>
  <si>
    <t>Справочник центров ответственности (ЦО)</t>
  </si>
  <si>
    <t>Цех 2</t>
  </si>
  <si>
    <t>Цех 5</t>
  </si>
  <si>
    <t>Ц_5</t>
  </si>
  <si>
    <t>Ц_11</t>
  </si>
  <si>
    <t>Средняя отсрочка платежа в днях</t>
  </si>
  <si>
    <t>Покупатели</t>
  </si>
  <si>
    <t>Поставщики сырья и материалов</t>
  </si>
  <si>
    <t>Персонал</t>
  </si>
  <si>
    <t>Бюджет</t>
  </si>
  <si>
    <t>Справочник видов ГП</t>
  </si>
  <si>
    <t>Потребители</t>
  </si>
  <si>
    <t>ЦО</t>
  </si>
  <si>
    <t>Сырье и п/ф</t>
  </si>
  <si>
    <t>Цех 1</t>
  </si>
  <si>
    <t>п/ф</t>
  </si>
  <si>
    <t>Строка для вставки</t>
  </si>
  <si>
    <t>Продажи</t>
  </si>
  <si>
    <t>Наименование продукта</t>
  </si>
  <si>
    <t>Итого</t>
  </si>
  <si>
    <t>Код ГП</t>
  </si>
  <si>
    <t>Наименование ГП</t>
  </si>
  <si>
    <t>в среднем за год</t>
  </si>
  <si>
    <t>Показатели</t>
  </si>
  <si>
    <t>Суммарная отгрузка, без НДС</t>
  </si>
  <si>
    <t>Суммарная отгрузка, с НДС</t>
  </si>
  <si>
    <t>Целевые показатели роста цен реализации</t>
  </si>
  <si>
    <t>Потребность в росте оборотного капитала</t>
  </si>
  <si>
    <t>поступления в 0 мес</t>
  </si>
  <si>
    <t>поступления в +1 мес</t>
  </si>
  <si>
    <t>поступления в +2 мес</t>
  </si>
  <si>
    <t>поступления с прошлого года</t>
  </si>
  <si>
    <t>Готовая продукция</t>
  </si>
  <si>
    <t>Расчет объема производства ГП</t>
  </si>
  <si>
    <t>Объем продаж</t>
  </si>
  <si>
    <t>Запас на нач</t>
  </si>
  <si>
    <t>Запас на кон</t>
  </si>
  <si>
    <t>Объем пр-ва</t>
  </si>
  <si>
    <t>Общие поступления за отгрузку</t>
  </si>
  <si>
    <t>Наименование</t>
  </si>
  <si>
    <t>Средний период оборота товарно-материальных запасов, дней</t>
  </si>
  <si>
    <t>сырье</t>
  </si>
  <si>
    <t>Наименование сырья</t>
  </si>
  <si>
    <t>Расчет параметров закупок сырья и материалов</t>
  </si>
  <si>
    <t>Среднее за год</t>
  </si>
  <si>
    <t>Темп роста закупочных цен</t>
  </si>
  <si>
    <t>Базовые цены</t>
  </si>
  <si>
    <t>Суммарные закупки, без НДС</t>
  </si>
  <si>
    <t>Суммарные закупки, с НДС</t>
  </si>
  <si>
    <t>Общие выплаты за поставки</t>
  </si>
  <si>
    <t>выплаты за поставки прошлого года</t>
  </si>
  <si>
    <t>выплаты в 0 мес</t>
  </si>
  <si>
    <t>выплаты в +1 мес</t>
  </si>
  <si>
    <t>выплаты в +2 мес</t>
  </si>
  <si>
    <t>Амортизация зданий и сооружений</t>
  </si>
  <si>
    <t>ГСМ</t>
  </si>
  <si>
    <t>Прочие затраты</t>
  </si>
  <si>
    <t>2.6.1</t>
  </si>
  <si>
    <t>2.6.2</t>
  </si>
  <si>
    <t>2.6.3</t>
  </si>
  <si>
    <t>2.6.4</t>
  </si>
  <si>
    <t>2.6.5</t>
  </si>
  <si>
    <t>2.6.6</t>
  </si>
  <si>
    <t>2.7.1</t>
  </si>
  <si>
    <t>2.7.2</t>
  </si>
  <si>
    <t>Цеховые затраты</t>
  </si>
  <si>
    <t>Затраты на ремонт и содержание оборудования</t>
  </si>
  <si>
    <t>5</t>
  </si>
  <si>
    <t>5.1</t>
  </si>
  <si>
    <t>5.2</t>
  </si>
  <si>
    <t>5.3</t>
  </si>
  <si>
    <t>5.4</t>
  </si>
  <si>
    <t>5.5</t>
  </si>
  <si>
    <t>5.6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</si>
  <si>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</si>
  <si>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</si>
  <si>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</si>
  <si>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</si>
  <si>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</si>
  <si>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</si>
  <si>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</si>
  <si>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</si>
  <si>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</si>
  <si>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Общепроизводственные затраты вспомогательных цехов</t>
  </si>
  <si>
    <t>Статья</t>
  </si>
  <si>
    <t>Распределение услуг цеха</t>
  </si>
  <si>
    <t>Нераспределенный остаток</t>
  </si>
  <si>
    <t>Бюджет доходов и расходов по операционной деятельности</t>
  </si>
  <si>
    <t>Прибыль/убыток от операционной деятельности</t>
  </si>
  <si>
    <t>Вклад на покрытие прямых затрат</t>
  </si>
  <si>
    <t>Вклад на покрытие прямых затрат и затрат на содержание оборудования</t>
  </si>
  <si>
    <t>Косвенные коммерческие расходы</t>
  </si>
  <si>
    <t>Прямые коммерческие расходы (скидки)</t>
  </si>
  <si>
    <t>Итого продажи за вычетом скидок</t>
  </si>
  <si>
    <t>%</t>
  </si>
  <si>
    <t>строка для вставки</t>
  </si>
  <si>
    <t>Период №</t>
  </si>
  <si>
    <t>1 этап расчетов</t>
  </si>
  <si>
    <t>1 этап</t>
  </si>
  <si>
    <t>2 этап расчетов</t>
  </si>
  <si>
    <t>2 этап</t>
  </si>
  <si>
    <t>3 этап расчетов</t>
  </si>
  <si>
    <t>3 этап</t>
  </si>
  <si>
    <t>4 этап расчетов</t>
  </si>
  <si>
    <t>4 этап</t>
  </si>
  <si>
    <t>5 этап расчетов</t>
  </si>
  <si>
    <t>5 этап</t>
  </si>
  <si>
    <t>6 этап расчетов</t>
  </si>
  <si>
    <t>6 этап</t>
  </si>
  <si>
    <t>7 этап расчетов</t>
  </si>
  <si>
    <t>7 этап</t>
  </si>
  <si>
    <t>Наименование ЦО</t>
  </si>
  <si>
    <t>Сумма</t>
  </si>
  <si>
    <t>Расчет на 1</t>
  </si>
  <si>
    <t>Вспомогательная форма для расчета на единицу</t>
  </si>
  <si>
    <t>Итого:</t>
  </si>
  <si>
    <t>Расчет зарплаты основных рабочих</t>
  </si>
  <si>
    <t>Итого прямая зарплата</t>
  </si>
  <si>
    <t>Вклад на покрытие прямых материальных затрат, всего</t>
  </si>
  <si>
    <t>В том числе по видам продукции:</t>
  </si>
  <si>
    <t>Средний период оборота капитальных вложений, дней</t>
  </si>
  <si>
    <t>Инвестиции</t>
  </si>
  <si>
    <t>1. Инвестиции в расширение производства</t>
  </si>
  <si>
    <t>Стоимость оборудования</t>
  </si>
  <si>
    <t>инженерное оборудование</t>
  </si>
  <si>
    <t>технологическое оборудование</t>
  </si>
  <si>
    <t>прочее оборудование</t>
  </si>
  <si>
    <t>Строительно-монтажные работы</t>
  </si>
  <si>
    <t>Нематериальные активы</t>
  </si>
  <si>
    <t>Прочие внеоборотные активы</t>
  </si>
  <si>
    <t>прочие основные средства</t>
  </si>
  <si>
    <t>2. Инвестиции в действующее оборудование (в т.ч.капремонт, замена оборудования и проч.)</t>
  </si>
  <si>
    <t>Итого инвестиции</t>
  </si>
  <si>
    <t>ВСЕГО:</t>
  </si>
  <si>
    <t>Справочник статей инвестиций</t>
  </si>
  <si>
    <t>И_1</t>
  </si>
  <si>
    <t>И_2</t>
  </si>
  <si>
    <t>И_3</t>
  </si>
  <si>
    <t>И_2.1</t>
  </si>
  <si>
    <t>И_2.2</t>
  </si>
  <si>
    <t>И_2.3</t>
  </si>
  <si>
    <t>И_2.4</t>
  </si>
  <si>
    <t>И_4</t>
  </si>
  <si>
    <t>И_5</t>
  </si>
  <si>
    <t>И_5.1</t>
  </si>
  <si>
    <t>И_5.2</t>
  </si>
  <si>
    <t>Прогнозный баланс</t>
  </si>
  <si>
    <t>Внеоборотные активы</t>
  </si>
  <si>
    <t>Основные средства</t>
  </si>
  <si>
    <t>Незавершенные капвложения</t>
  </si>
  <si>
    <t>Оборотные активы</t>
  </si>
  <si>
    <t>Запасы сырья и материалов</t>
  </si>
  <si>
    <t>Запасы готовой продукции</t>
  </si>
  <si>
    <t>Денежные средства</t>
  </si>
  <si>
    <t>Собственный капитал</t>
  </si>
  <si>
    <t>Уставный капитал</t>
  </si>
  <si>
    <t>Накопленная прибыль</t>
  </si>
  <si>
    <t>ИТОГО активы</t>
  </si>
  <si>
    <t>Долгосрочные кредиты</t>
  </si>
  <si>
    <t>Краткосрочные обязательства</t>
  </si>
  <si>
    <t>Процентные заемные средства</t>
  </si>
  <si>
    <t>КЗ поставщикам сырья и материалов</t>
  </si>
  <si>
    <t>ДЗ покупателей</t>
  </si>
  <si>
    <t>Прочие поставщики (услуги, инвестиции и проч.)</t>
  </si>
  <si>
    <t>ИТОГО пассивы</t>
  </si>
  <si>
    <t>Остаток на начало</t>
  </si>
  <si>
    <t>Остаток на конец</t>
  </si>
  <si>
    <t>Поступления долгосрочных кредитов</t>
  </si>
  <si>
    <t>Выплаты долгосрочных кредитов</t>
  </si>
  <si>
    <t>Поступления краткосрочных кредитов</t>
  </si>
  <si>
    <t>Выплаты краткосрочных кредитов</t>
  </si>
  <si>
    <t>Краткосрочные кредиты</t>
  </si>
  <si>
    <t>Процентная ставка по долгосрочным кредитам (средневзвешенная)</t>
  </si>
  <si>
    <t>Проценты по долгосрочным кредитам банков(начисленные и выплаченные)</t>
  </si>
  <si>
    <t>Процентная ставка по краткосрочным кредитам (средневзвешенная)</t>
  </si>
  <si>
    <t>Проценты по краткосрочным кредитам банков(начисленные и выплаченные)</t>
  </si>
  <si>
    <t>Задолженность перед персоналом, бюджетом и прочими контрагентами</t>
  </si>
  <si>
    <t>Финансовая деятельность</t>
  </si>
  <si>
    <t>Прибыль от операционной деятельности</t>
  </si>
  <si>
    <t>Амортизационные отчисления</t>
  </si>
  <si>
    <t>Инвестиции в оборотный капитал</t>
  </si>
  <si>
    <t>Увеличение запасов сырья и материалов</t>
  </si>
  <si>
    <t>Увеличение запасов готовой продукции</t>
  </si>
  <si>
    <t>Увеличение ДЗ покупателей</t>
  </si>
  <si>
    <t>Уменьшение КЗ поставщикам сырья и материалов</t>
  </si>
  <si>
    <t>Уменьшение задолженности перед персоналом, бюджетом и прочими контрагентами</t>
  </si>
  <si>
    <t>Капитальные инвестиции</t>
  </si>
  <si>
    <t>Увеличение основных средств</t>
  </si>
  <si>
    <t>Увеличение незавершенных капвложений</t>
  </si>
  <si>
    <t>Отчет о движении денежных средств косвенным методом</t>
  </si>
  <si>
    <t>Свободный денежный поток (free cash flow)</t>
  </si>
  <si>
    <t>3. Инвестиции социально-обусловленные и направленные на создание общей инфраструктуры</t>
  </si>
  <si>
    <t>Административные и коммерческие расходы</t>
  </si>
  <si>
    <t>Содержание модели</t>
  </si>
  <si>
    <t>Лист 1</t>
  </si>
  <si>
    <t>Лист2</t>
  </si>
  <si>
    <t>Услуги вычислительного центра</t>
  </si>
  <si>
    <t>Услуги транспортного цеха</t>
  </si>
  <si>
    <t>4.6</t>
  </si>
  <si>
    <t>м</t>
  </si>
  <si>
    <t>Поступления денежных средств от реализации 2007 г</t>
  </si>
  <si>
    <t>кг</t>
  </si>
  <si>
    <t>ГП_111</t>
  </si>
  <si>
    <t>ГП_112</t>
  </si>
  <si>
    <t>ГП_113</t>
  </si>
  <si>
    <t>ГП_114</t>
  </si>
  <si>
    <t>ГП_115</t>
  </si>
  <si>
    <t>ГП_121</t>
  </si>
  <si>
    <t>ГП_122</t>
  </si>
  <si>
    <t>ГП_123</t>
  </si>
  <si>
    <t>ГП_124</t>
  </si>
  <si>
    <t>ГП_125</t>
  </si>
  <si>
    <t>ГП_110</t>
  </si>
  <si>
    <t>ГП_120</t>
  </si>
  <si>
    <t>ГП_200</t>
  </si>
  <si>
    <t>ГП_210</t>
  </si>
  <si>
    <t>ГП_211</t>
  </si>
  <si>
    <t>ГП_212</t>
  </si>
  <si>
    <t>ГП_220</t>
  </si>
  <si>
    <t>ГП_221</t>
  </si>
  <si>
    <t>ГП_222</t>
  </si>
  <si>
    <t>ГП_223</t>
  </si>
  <si>
    <t>Оборачиваемость товарно-материальных запасов</t>
  </si>
  <si>
    <t>Оборачиваемость капитальных вложений</t>
  </si>
  <si>
    <t>Оборачиваемость дебиторской задолженности</t>
  </si>
  <si>
    <t>Оборачиваемость кредиторской задолженности перед поставщиками</t>
  </si>
  <si>
    <t>Оборачиваемость кредиторской задолженности перед персоналом, бюджетом и прочими контрагентами</t>
  </si>
  <si>
    <t>Темп роста ставок</t>
  </si>
  <si>
    <t>Доходные вложения в материальные ценности</t>
  </si>
  <si>
    <t>Отложенные налоговые активы</t>
  </si>
  <si>
    <t>Прочие внеоборотные средства</t>
  </si>
  <si>
    <t>Выплаты денежных средств за поставки 2007 г</t>
  </si>
  <si>
    <t>Классификаторы</t>
  </si>
  <si>
    <t>Лист 3</t>
  </si>
  <si>
    <t>Лист 4</t>
  </si>
  <si>
    <t>Лист 5</t>
  </si>
  <si>
    <t>Лист 6</t>
  </si>
  <si>
    <t>Лист 7</t>
  </si>
  <si>
    <t>Лист 8</t>
  </si>
  <si>
    <t>Лист 10</t>
  </si>
  <si>
    <t>Лист 11</t>
  </si>
  <si>
    <t>Лист 14</t>
  </si>
  <si>
    <t>Лист 15</t>
  </si>
  <si>
    <t>Лист 16</t>
  </si>
  <si>
    <t>Лист 17</t>
  </si>
  <si>
    <t>Лист 18</t>
  </si>
  <si>
    <t>Лист 19</t>
  </si>
  <si>
    <t>Технологические карты 1</t>
  </si>
  <si>
    <t>Технологические карты 2</t>
  </si>
  <si>
    <t>Оборачиваемость в днях и в единицах</t>
  </si>
  <si>
    <t>Реализация продукции</t>
  </si>
  <si>
    <t>Производство готовой продукции</t>
  </si>
  <si>
    <t>Программа производства по центрам ответственности</t>
  </si>
  <si>
    <t>Объем закупок</t>
  </si>
  <si>
    <t>Прямые затраты на оплату труда</t>
  </si>
  <si>
    <t>Накладные производственные затраты</t>
  </si>
  <si>
    <t>Объем запасов ГП, в руб</t>
  </si>
  <si>
    <t>Краткосрочные финансовые вложения</t>
  </si>
  <si>
    <t>НДС к возмещению из бюджета</t>
  </si>
  <si>
    <t>Резервный капитал</t>
  </si>
  <si>
    <t>Добавочный капитал</t>
  </si>
  <si>
    <t>Отложенные налоговые обязательства</t>
  </si>
  <si>
    <t>Задолженность по дивидендам</t>
  </si>
  <si>
    <t>Доходы будущих периодов</t>
  </si>
  <si>
    <t>Резервы</t>
  </si>
  <si>
    <t>Долгосрочные обязательства</t>
  </si>
  <si>
    <t>Дисбаланс</t>
  </si>
  <si>
    <t>Нормативные запасы сырья, руб на конец периода</t>
  </si>
  <si>
    <t>Оборачиваемость, раз</t>
  </si>
  <si>
    <t>Нормативные запасы сырья, кг на конец периода</t>
  </si>
  <si>
    <t>База, руб.</t>
  </si>
  <si>
    <t>Средние цены реализации по бюджету, руб.</t>
  </si>
  <si>
    <t>Объем отгрузки продукции по бюджету, в стоим.выражении, руб.</t>
  </si>
  <si>
    <t>Показатели расчетов с покупателями, руб.</t>
  </si>
  <si>
    <t>Прямые материальные затраты на отгруженную продукцию, руб.</t>
  </si>
  <si>
    <t>Программа производства п/ф и ГП по ЦО, кг</t>
  </si>
  <si>
    <t>Расчет потребности в сырье на программу производства, кг</t>
  </si>
  <si>
    <t>Объем закупок сырья, кг</t>
  </si>
  <si>
    <t>Базовые цены, руб.</t>
  </si>
  <si>
    <t>Средние закупочные цены по бюджету, руб.</t>
  </si>
  <si>
    <t>Объем закупок по бюджету в стоимостном выражении, руб.</t>
  </si>
  <si>
    <t>Показатели расчетов с поставщиками, руб.</t>
  </si>
  <si>
    <t>Расчет прямых материальных затрат на единицу продукции, руб.</t>
  </si>
  <si>
    <t>Базовые расценки, руб.</t>
  </si>
  <si>
    <t>Зарплата основных рабочих, руб.</t>
  </si>
  <si>
    <t>Общепроизводственные затраты компании, руб.</t>
  </si>
  <si>
    <t>Административные и коммерческие расходы компании, руб.</t>
  </si>
  <si>
    <t>Бюджет доходов и расходов по операционной деятельности, руб.</t>
  </si>
  <si>
    <t>Вклад на покрытие прямых материальных затрат по видам продукции, руб.</t>
  </si>
  <si>
    <t>Инвестиции по направлениям, руб.</t>
  </si>
  <si>
    <t>Финансовая деятельность, руб.</t>
  </si>
  <si>
    <t>Прогнозный баланс, тыс.руб.</t>
  </si>
  <si>
    <t>Отчет о движении денежных средств косвенным методом, тыс.руб.</t>
  </si>
  <si>
    <t>ГП_100</t>
  </si>
  <si>
    <t>-</t>
  </si>
  <si>
    <t>Объем отгрузки продукции по бюджету, кг и м</t>
  </si>
  <si>
    <t>номенклатура в кг</t>
  </si>
  <si>
    <t>номенклатура в м</t>
  </si>
  <si>
    <t>Расчет объема производства, в кг и м</t>
  </si>
  <si>
    <t>Объем производства ГП, в кг и м</t>
  </si>
  <si>
    <t>Исходное сырье</t>
  </si>
  <si>
    <t>Технологические ТЭР</t>
  </si>
  <si>
    <t>Прямые производственные затраты</t>
  </si>
  <si>
    <t>Амортизация технологического оборудования</t>
  </si>
  <si>
    <t>Затраты на охрану труда</t>
  </si>
  <si>
    <t>Зарплата управления цехов с отчислениями</t>
  </si>
  <si>
    <t>Зарплата вспомогательных рабочих с отчислениями</t>
  </si>
  <si>
    <t>Вода техническая</t>
  </si>
  <si>
    <t>ТЭР в составе цеховых</t>
  </si>
  <si>
    <t>Прочая зарплата с отчислениями в составе цеховых затрат</t>
  </si>
  <si>
    <t>Теплоэнергия в составе цеховых затрат</t>
  </si>
  <si>
    <t>Текущий ремонт зданий и сооружений</t>
  </si>
  <si>
    <t>Затраты на содержание зданий и сооружений</t>
  </si>
  <si>
    <t>Эксплуатационные материалы</t>
  </si>
  <si>
    <t>Текущий ремонт технологического оборудования</t>
  </si>
  <si>
    <t>Содержание и эксплуатация технологического оборудования</t>
  </si>
  <si>
    <t>Зарплата рабочих РМЦ с отчислениями</t>
  </si>
  <si>
    <t>Расходные материалы для ремонта</t>
  </si>
  <si>
    <t>Запасные части для ремонта</t>
  </si>
  <si>
    <t>Амортизация прочего имущества</t>
  </si>
  <si>
    <t>ТЭР в составе административных</t>
  </si>
  <si>
    <t>Заработная плата с отчислениями</t>
  </si>
  <si>
    <t>Участие в выставках и ассоциациях</t>
  </si>
  <si>
    <t>Подготовка проектов</t>
  </si>
  <si>
    <t>вспомогательное оборудование</t>
  </si>
  <si>
    <t>вычислительная техника</t>
  </si>
  <si>
    <t>на кг</t>
  </si>
  <si>
    <t>на м</t>
  </si>
  <si>
    <t>Заpаботная плата аппарата управления с отчислениями</t>
  </si>
  <si>
    <t>Долгосрочные финансовые вложения</t>
  </si>
  <si>
    <t>Цех 3</t>
  </si>
  <si>
    <t>Цех 4</t>
  </si>
  <si>
    <t>Цех 6</t>
  </si>
  <si>
    <t>Цех 7</t>
  </si>
  <si>
    <t>Цех 8</t>
  </si>
  <si>
    <t>Цех 9</t>
  </si>
  <si>
    <t>Цех 10</t>
  </si>
  <si>
    <t>Группа продуктов 1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</si>
  <si>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</si>
  <si>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</si>
  <si>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</si>
  <si>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</si>
  <si>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</si>
  <si>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</si>
  <si>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Продукт 7</t>
  </si>
  <si>
    <t>Продукт 8</t>
  </si>
  <si>
    <t>Продукт 9</t>
  </si>
  <si>
    <t>Продукт 10</t>
  </si>
  <si>
    <t>Продукт 11</t>
  </si>
  <si>
    <t>Продукт 12</t>
  </si>
  <si>
    <t>Группа продуктов 2</t>
  </si>
  <si>
    <t>Продукт 13</t>
  </si>
  <si>
    <t>Продукт 14</t>
  </si>
  <si>
    <t>Продукт 15</t>
  </si>
  <si>
    <t>Сырье 1</t>
  </si>
  <si>
    <t>Сырье 2</t>
  </si>
  <si>
    <t>Сырье 3</t>
  </si>
  <si>
    <t>Сырье 4</t>
  </si>
  <si>
    <t>Сырье 5</t>
  </si>
  <si>
    <t>Сырье 6</t>
  </si>
  <si>
    <t>Сырье 7</t>
  </si>
  <si>
    <t>Сырье 8</t>
  </si>
  <si>
    <t>Сырье 9</t>
  </si>
  <si>
    <t>Полуфабрикат 1</t>
  </si>
  <si>
    <t>Полуфабрикат 2</t>
  </si>
  <si>
    <t>Подгруппа продуктов 1.1</t>
  </si>
  <si>
    <t>Подгруппа продуктов 1.2</t>
  </si>
  <si>
    <t>Подгруппа продуктов 2.1</t>
  </si>
  <si>
    <t>Подгруппа продуктов 2.2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</si>
</sst>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mmm\ yy"/>
    <numFmt numFmtId="167" formatCode="#,##0.0000"/>
    <numFmt numFmtId="168" formatCode="#,##0.0"/>
    <numFmt numFmtId="169" formatCode="#,##0.000"/>
    <numFmt numFmtId="170" formatCode="0.00000"/>
    <numFmt numFmtId="171" formatCode="mmm/yyyy"/>
    <numFmt numFmtId="172" formatCode="0.0%"/>
    <numFmt numFmtId="173" formatCode="#,##0.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"/>
    <numFmt numFmtId="180" formatCode="General_);[Red]\-General_)"/>
    <numFmt numFmtId="181" formatCode="_-* #,##0_р_-;\-* #,##0_р_-;_-* &quot;-&quot;??_р_-;_-@_-"/>
    <numFmt numFmtId="182" formatCode="#,##0.00_ ;\-#,##0.00\ 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  <numFmt numFmtId="186" formatCode="[$-419]mmmm\ yyyy;@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color indexed="10"/>
      <name val="Verdana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b/>
      <sz val="14"/>
      <name val="Verdana"/>
      <family val="2"/>
    </font>
    <font>
      <b/>
      <i/>
      <sz val="8"/>
      <name val="Verdana"/>
      <family val="2"/>
    </font>
    <font>
      <b/>
      <sz val="8"/>
      <color indexed="48"/>
      <name val="Verdana"/>
      <family val="2"/>
    </font>
    <font>
      <b/>
      <sz val="8"/>
      <color indexed="12"/>
      <name val="Verdana"/>
      <family val="2"/>
    </font>
    <font>
      <b/>
      <i/>
      <u val="single"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0"/>
      <color indexed="12"/>
      <name val="Verdana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18" applyFont="1" applyBorder="1" applyAlignment="1">
      <alignment horizontal="left" vertical="center" wrapText="1"/>
      <protection/>
    </xf>
    <xf numFmtId="0" fontId="5" fillId="0" borderId="0" xfId="18" applyFont="1" applyFill="1" applyBorder="1" applyAlignment="1">
      <alignment horizontal="center" vertical="center" wrapText="1"/>
      <protection/>
    </xf>
    <xf numFmtId="0" fontId="6" fillId="0" borderId="0" xfId="18" applyFont="1" applyBorder="1">
      <alignment/>
      <protection/>
    </xf>
    <xf numFmtId="0" fontId="7" fillId="0" borderId="0" xfId="18" applyFont="1" applyBorder="1" applyAlignment="1">
      <alignment horizontal="left" vertical="center" wrapText="1"/>
      <protection/>
    </xf>
    <xf numFmtId="0" fontId="7" fillId="0" borderId="0" xfId="18" applyFont="1" applyFill="1" applyBorder="1" applyAlignment="1">
      <alignment horizontal="center" vertical="center" wrapText="1"/>
      <protection/>
    </xf>
    <xf numFmtId="0" fontId="8" fillId="0" borderId="0" xfId="18" applyFont="1" applyFill="1" applyBorder="1" applyAlignment="1">
      <alignment horizontal="left" vertical="center" wrapText="1"/>
      <protection/>
    </xf>
    <xf numFmtId="0" fontId="9" fillId="0" borderId="0" xfId="18" applyFont="1" applyFill="1" applyBorder="1" applyAlignment="1">
      <alignment horizontal="left" vertical="center"/>
      <protection/>
    </xf>
    <xf numFmtId="0" fontId="10" fillId="0" borderId="0" xfId="18" applyFont="1" applyFill="1" applyBorder="1">
      <alignment/>
      <protection/>
    </xf>
    <xf numFmtId="0" fontId="5" fillId="0" borderId="0" xfId="18" applyFont="1" applyFill="1">
      <alignment/>
      <protection/>
    </xf>
    <xf numFmtId="0" fontId="6" fillId="0" borderId="0" xfId="18" applyFont="1" applyFill="1">
      <alignment/>
      <protection/>
    </xf>
    <xf numFmtId="0" fontId="6" fillId="0" borderId="0" xfId="18" applyFont="1" applyFill="1" applyAlignment="1">
      <alignment horizontal="left" indent="2"/>
      <protection/>
    </xf>
    <xf numFmtId="0" fontId="6" fillId="0" borderId="1" xfId="18" applyFont="1" applyBorder="1" applyAlignment="1">
      <alignment horizontal="left"/>
      <protection/>
    </xf>
    <xf numFmtId="0" fontId="11" fillId="0" borderId="1" xfId="18" applyFont="1" applyBorder="1">
      <alignment/>
      <protection/>
    </xf>
    <xf numFmtId="0" fontId="5" fillId="0" borderId="0" xfId="18" applyFont="1" applyBorder="1" applyAlignment="1">
      <alignment horizontal="left" vertical="center"/>
      <protection/>
    </xf>
    <xf numFmtId="0" fontId="10" fillId="0" borderId="0" xfId="18" applyFont="1" applyFill="1" applyAlignment="1" quotePrefix="1">
      <alignment horizontal="left"/>
      <protection/>
    </xf>
    <xf numFmtId="0" fontId="6" fillId="0" borderId="0" xfId="18" applyFont="1" applyFill="1" applyAlignment="1">
      <alignment horizontal="left"/>
      <protection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 indent="2"/>
    </xf>
    <xf numFmtId="3" fontId="6" fillId="0" borderId="2" xfId="0" applyNumberFormat="1" applyFont="1" applyFill="1" applyBorder="1" applyAlignment="1">
      <alignment/>
    </xf>
    <xf numFmtId="0" fontId="6" fillId="0" borderId="0" xfId="18" applyFont="1" applyBorder="1" applyAlignment="1">
      <alignment horizontal="left"/>
      <protection/>
    </xf>
    <xf numFmtId="0" fontId="11" fillId="0" borderId="0" xfId="18" applyFont="1" applyBorder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Alignment="1">
      <alignment horizontal="left"/>
      <protection/>
    </xf>
    <xf numFmtId="0" fontId="6" fillId="0" borderId="0" xfId="18" applyFont="1" applyAlignment="1">
      <alignment horizontal="center"/>
      <protection/>
    </xf>
    <xf numFmtId="0" fontId="6" fillId="2" borderId="0" xfId="18" applyFont="1" applyFill="1" applyAlignment="1" quotePrefix="1">
      <alignment horizontal="left"/>
      <protection/>
    </xf>
    <xf numFmtId="0" fontId="6" fillId="2" borderId="0" xfId="18" applyFont="1" applyFill="1" applyAlignment="1">
      <alignment horizontal="left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" borderId="0" xfId="18" applyFont="1" applyFill="1" applyAlignment="1">
      <alignment horizontal="center"/>
      <protection/>
    </xf>
    <xf numFmtId="0" fontId="6" fillId="0" borderId="0" xfId="18" applyFont="1" applyFill="1" applyAlignment="1">
      <alignment horizontal="center"/>
      <protection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textRotation="90"/>
    </xf>
    <xf numFmtId="3" fontId="6" fillId="4" borderId="2" xfId="0" applyNumberFormat="1" applyFont="1" applyFill="1" applyBorder="1" applyAlignment="1">
      <alignment textRotation="90"/>
    </xf>
    <xf numFmtId="3" fontId="6" fillId="3" borderId="2" xfId="0" applyNumberFormat="1" applyFont="1" applyFill="1" applyBorder="1" applyAlignment="1">
      <alignment textRotation="90"/>
    </xf>
    <xf numFmtId="0" fontId="5" fillId="0" borderId="0" xfId="18" applyFont="1" applyFill="1" applyAlignment="1">
      <alignment horizontal="center"/>
      <protection/>
    </xf>
    <xf numFmtId="17" fontId="6" fillId="0" borderId="0" xfId="0" applyNumberFormat="1" applyFont="1" applyAlignment="1">
      <alignment/>
    </xf>
    <xf numFmtId="3" fontId="5" fillId="0" borderId="0" xfId="18" applyNumberFormat="1" applyFont="1" applyFill="1" applyAlignment="1">
      <alignment horizontal="center"/>
      <protection/>
    </xf>
    <xf numFmtId="3" fontId="6" fillId="0" borderId="0" xfId="18" applyNumberFormat="1" applyFont="1" applyFill="1" applyAlignment="1">
      <alignment horizontal="center"/>
      <protection/>
    </xf>
    <xf numFmtId="17" fontId="6" fillId="0" borderId="0" xfId="18" applyNumberFormat="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18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6" fillId="0" borderId="2" xfId="0" applyNumberFormat="1" applyFont="1" applyFill="1" applyBorder="1" applyAlignment="1">
      <alignment/>
    </xf>
    <xf numFmtId="0" fontId="7" fillId="0" borderId="0" xfId="18" applyFont="1" applyFill="1" applyAlignment="1">
      <alignment horizontal="center"/>
      <protection/>
    </xf>
    <xf numFmtId="0" fontId="5" fillId="0" borderId="0" xfId="0" applyFont="1" applyAlignment="1">
      <alignment horizontal="left"/>
    </xf>
    <xf numFmtId="3" fontId="5" fillId="0" borderId="0" xfId="18" applyNumberFormat="1" applyFont="1" applyFill="1" applyAlignment="1">
      <alignment horizontal="left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166" fontId="5" fillId="0" borderId="3" xfId="19" applyNumberFormat="1" applyFont="1" applyBorder="1" applyAlignment="1">
      <alignment horizontal="center" vertical="center"/>
      <protection/>
    </xf>
    <xf numFmtId="0" fontId="5" fillId="0" borderId="4" xfId="0" applyFont="1" applyBorder="1" applyAlignment="1">
      <alignment wrapText="1"/>
    </xf>
    <xf numFmtId="0" fontId="6" fillId="4" borderId="2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1" fontId="6" fillId="4" borderId="2" xfId="0" applyNumberFormat="1" applyFont="1" applyFill="1" applyBorder="1" applyAlignment="1">
      <alignment/>
    </xf>
    <xf numFmtId="1" fontId="6" fillId="4" borderId="5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43" fontId="6" fillId="3" borderId="2" xfId="22" applyNumberFormat="1" applyFont="1" applyFill="1" applyBorder="1" applyAlignment="1">
      <alignment/>
    </xf>
    <xf numFmtId="43" fontId="6" fillId="3" borderId="5" xfId="22" applyNumberFormat="1" applyFont="1" applyFill="1" applyBorder="1" applyAlignment="1">
      <alignment/>
    </xf>
    <xf numFmtId="43" fontId="6" fillId="3" borderId="2" xfId="22" applyFont="1" applyFill="1" applyBorder="1" applyAlignment="1">
      <alignment/>
    </xf>
    <xf numFmtId="43" fontId="6" fillId="3" borderId="5" xfId="22" applyFont="1" applyFill="1" applyBorder="1" applyAlignment="1">
      <alignment/>
    </xf>
    <xf numFmtId="43" fontId="6" fillId="0" borderId="2" xfId="22" applyFont="1" applyBorder="1" applyAlignment="1">
      <alignment/>
    </xf>
    <xf numFmtId="43" fontId="6" fillId="0" borderId="5" xfId="22" applyFont="1" applyBorder="1" applyAlignment="1">
      <alignment/>
    </xf>
    <xf numFmtId="43" fontId="6" fillId="3" borderId="7" xfId="22" applyFont="1" applyFill="1" applyBorder="1" applyAlignment="1">
      <alignment/>
    </xf>
    <xf numFmtId="43" fontId="6" fillId="3" borderId="8" xfId="22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9" xfId="0" applyFont="1" applyBorder="1" applyAlignment="1">
      <alignment horizontal="center" vertical="center" wrapText="1"/>
    </xf>
    <xf numFmtId="4" fontId="6" fillId="2" borderId="4" xfId="0" applyNumberFormat="1" applyFont="1" applyFill="1" applyBorder="1" applyAlignment="1" quotePrefix="1">
      <alignment horizontal="center"/>
    </xf>
    <xf numFmtId="0" fontId="6" fillId="3" borderId="2" xfId="0" applyFont="1" applyFill="1" applyBorder="1" applyAlignment="1">
      <alignment wrapText="1"/>
    </xf>
    <xf numFmtId="3" fontId="6" fillId="3" borderId="1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3" borderId="0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 horizontal="left"/>
    </xf>
    <xf numFmtId="3" fontId="5" fillId="3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Fill="1" applyAlignment="1">
      <alignment/>
    </xf>
    <xf numFmtId="4" fontId="6" fillId="2" borderId="15" xfId="0" applyNumberFormat="1" applyFont="1" applyFill="1" applyBorder="1" applyAlignment="1" quotePrefix="1">
      <alignment horizontal="center"/>
    </xf>
    <xf numFmtId="3" fontId="6" fillId="4" borderId="2" xfId="0" applyNumberFormat="1" applyFont="1" applyFill="1" applyBorder="1" applyAlignment="1" quotePrefix="1">
      <alignment horizontal="center"/>
    </xf>
    <xf numFmtId="4" fontId="6" fillId="2" borderId="2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4" fontId="6" fillId="4" borderId="2" xfId="0" applyNumberFormat="1" applyFont="1" applyFill="1" applyBorder="1" applyAlignment="1" quotePrefix="1">
      <alignment horizontal="center"/>
    </xf>
    <xf numFmtId="4" fontId="6" fillId="4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166" fontId="5" fillId="0" borderId="14" xfId="19" applyNumberFormat="1" applyFont="1" applyBorder="1" applyAlignment="1">
      <alignment horizontal="center" vertical="center"/>
      <protection/>
    </xf>
    <xf numFmtId="4" fontId="6" fillId="3" borderId="2" xfId="0" applyNumberFormat="1" applyFont="1" applyFill="1" applyBorder="1" applyAlignment="1">
      <alignment/>
    </xf>
    <xf numFmtId="4" fontId="6" fillId="0" borderId="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/>
    </xf>
    <xf numFmtId="3" fontId="6" fillId="4" borderId="2" xfId="0" applyNumberFormat="1" applyFont="1" applyFill="1" applyBorder="1" applyAlignment="1">
      <alignment/>
    </xf>
    <xf numFmtId="0" fontId="5" fillId="0" borderId="2" xfId="0" applyFont="1" applyBorder="1" applyAlignment="1">
      <alignment wrapText="1"/>
    </xf>
    <xf numFmtId="3" fontId="5" fillId="3" borderId="17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6" fillId="3" borderId="15" xfId="0" applyFont="1" applyFill="1" applyBorder="1" applyAlignment="1">
      <alignment wrapText="1"/>
    </xf>
    <xf numFmtId="3" fontId="6" fillId="3" borderId="2" xfId="0" applyNumberFormat="1" applyFont="1" applyFill="1" applyBorder="1" applyAlignment="1" quotePrefix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6" fontId="5" fillId="0" borderId="19" xfId="19" applyNumberFormat="1" applyFont="1" applyBorder="1" applyAlignment="1">
      <alignment horizontal="center" vertical="center"/>
      <protection/>
    </xf>
    <xf numFmtId="166" fontId="5" fillId="0" borderId="20" xfId="19" applyNumberFormat="1" applyFont="1" applyFill="1" applyBorder="1" applyAlignment="1">
      <alignment horizontal="center" vertical="center"/>
      <protection/>
    </xf>
    <xf numFmtId="4" fontId="6" fillId="2" borderId="21" xfId="0" applyNumberFormat="1" applyFont="1" applyFill="1" applyBorder="1" applyAlignment="1" quotePrefix="1">
      <alignment horizontal="center"/>
    </xf>
    <xf numFmtId="0" fontId="6" fillId="3" borderId="22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3" fontId="6" fillId="3" borderId="23" xfId="0" applyNumberFormat="1" applyFont="1" applyFill="1" applyBorder="1" applyAlignment="1">
      <alignment/>
    </xf>
    <xf numFmtId="4" fontId="6" fillId="2" borderId="24" xfId="0" applyNumberFormat="1" applyFont="1" applyFill="1" applyBorder="1" applyAlignment="1" quotePrefix="1">
      <alignment horizontal="center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5" fillId="4" borderId="1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3" fontId="5" fillId="3" borderId="10" xfId="0" applyNumberFormat="1" applyFont="1" applyFill="1" applyBorder="1" applyAlignment="1">
      <alignment/>
    </xf>
    <xf numFmtId="4" fontId="6" fillId="2" borderId="26" xfId="0" applyNumberFormat="1" applyFont="1" applyFill="1" applyBorder="1" applyAlignment="1" quotePrefix="1">
      <alignment horizontal="center"/>
    </xf>
    <xf numFmtId="4" fontId="6" fillId="3" borderId="27" xfId="0" applyNumberFormat="1" applyFont="1" applyFill="1" applyBorder="1" applyAlignment="1">
      <alignment wrapText="1"/>
    </xf>
    <xf numFmtId="0" fontId="6" fillId="0" borderId="28" xfId="0" applyFont="1" applyBorder="1" applyAlignment="1">
      <alignment wrapText="1"/>
    </xf>
    <xf numFmtId="3" fontId="6" fillId="3" borderId="28" xfId="0" applyNumberFormat="1" applyFont="1" applyFill="1" applyBorder="1" applyAlignment="1">
      <alignment/>
    </xf>
    <xf numFmtId="3" fontId="5" fillId="3" borderId="29" xfId="0" applyNumberFormat="1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15" fillId="0" borderId="0" xfId="0" applyFont="1" applyAlignment="1">
      <alignment/>
    </xf>
    <xf numFmtId="0" fontId="5" fillId="0" borderId="31" xfId="19" applyNumberFormat="1" applyFont="1" applyFill="1" applyBorder="1" applyAlignment="1">
      <alignment horizontal="center" vertical="center"/>
      <protection/>
    </xf>
    <xf numFmtId="3" fontId="5" fillId="3" borderId="25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6" fillId="2" borderId="14" xfId="0" applyNumberFormat="1" applyFont="1" applyFill="1" applyBorder="1" applyAlignment="1" quotePrefix="1">
      <alignment horizontal="center"/>
    </xf>
    <xf numFmtId="0" fontId="6" fillId="0" borderId="32" xfId="0" applyFont="1" applyBorder="1" applyAlignment="1">
      <alignment wrapText="1"/>
    </xf>
    <xf numFmtId="3" fontId="6" fillId="0" borderId="33" xfId="0" applyNumberFormat="1" applyFont="1" applyFill="1" applyBorder="1" applyAlignment="1">
      <alignment/>
    </xf>
    <xf numFmtId="3" fontId="6" fillId="3" borderId="33" xfId="0" applyNumberFormat="1" applyFont="1" applyFill="1" applyBorder="1" applyAlignment="1">
      <alignment/>
    </xf>
    <xf numFmtId="3" fontId="6" fillId="3" borderId="34" xfId="0" applyNumberFormat="1" applyFont="1" applyFill="1" applyBorder="1" applyAlignment="1">
      <alignment/>
    </xf>
    <xf numFmtId="3" fontId="6" fillId="3" borderId="35" xfId="0" applyNumberFormat="1" applyFont="1" applyFill="1" applyBorder="1" applyAlignment="1">
      <alignment/>
    </xf>
    <xf numFmtId="0" fontId="11" fillId="0" borderId="36" xfId="0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3" borderId="38" xfId="0" applyNumberFormat="1" applyFont="1" applyFill="1" applyBorder="1" applyAlignment="1">
      <alignment/>
    </xf>
    <xf numFmtId="4" fontId="6" fillId="2" borderId="35" xfId="0" applyNumberFormat="1" applyFont="1" applyFill="1" applyBorder="1" applyAlignment="1" quotePrefix="1">
      <alignment horizontal="center"/>
    </xf>
    <xf numFmtId="0" fontId="6" fillId="0" borderId="21" xfId="0" applyFont="1" applyBorder="1" applyAlignment="1">
      <alignment wrapText="1"/>
    </xf>
    <xf numFmtId="3" fontId="6" fillId="3" borderId="22" xfId="0" applyNumberFormat="1" applyFont="1" applyFill="1" applyBorder="1" applyAlignment="1">
      <alignment/>
    </xf>
    <xf numFmtId="3" fontId="6" fillId="3" borderId="39" xfId="0" applyNumberFormat="1" applyFont="1" applyFill="1" applyBorder="1" applyAlignment="1">
      <alignment/>
    </xf>
    <xf numFmtId="4" fontId="6" fillId="2" borderId="38" xfId="0" applyNumberFormat="1" applyFont="1" applyFill="1" applyBorder="1" applyAlignment="1" quotePrefix="1">
      <alignment horizontal="center"/>
    </xf>
    <xf numFmtId="0" fontId="6" fillId="0" borderId="4" xfId="0" applyFont="1" applyBorder="1" applyAlignment="1">
      <alignment wrapText="1"/>
    </xf>
    <xf numFmtId="3" fontId="6" fillId="3" borderId="5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3" borderId="2" xfId="0" applyNumberFormat="1" applyFont="1" applyFill="1" applyBorder="1" applyAlignment="1" quotePrefix="1">
      <alignment horizontal="center"/>
    </xf>
    <xf numFmtId="4" fontId="6" fillId="3" borderId="15" xfId="0" applyNumberFormat="1" applyFont="1" applyFill="1" applyBorder="1" applyAlignment="1">
      <alignment/>
    </xf>
    <xf numFmtId="4" fontId="6" fillId="0" borderId="2" xfId="0" applyNumberFormat="1" applyFont="1" applyFill="1" applyBorder="1" applyAlignment="1" quotePrefix="1">
      <alignment horizontal="center"/>
    </xf>
    <xf numFmtId="4" fontId="6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166" fontId="5" fillId="3" borderId="3" xfId="19" applyNumberFormat="1" applyFont="1" applyFill="1" applyBorder="1" applyAlignment="1">
      <alignment horizontal="center" vertical="center" wrapText="1"/>
      <protection/>
    </xf>
    <xf numFmtId="166" fontId="5" fillId="0" borderId="3" xfId="19" applyNumberFormat="1" applyFont="1" applyBorder="1" applyAlignment="1">
      <alignment horizontal="center" vertical="center" wrapText="1"/>
      <protection/>
    </xf>
    <xf numFmtId="4" fontId="6" fillId="0" borderId="4" xfId="0" applyNumberFormat="1" applyFont="1" applyFill="1" applyBorder="1" applyAlignment="1" quotePrefix="1">
      <alignment horizontal="center"/>
    </xf>
    <xf numFmtId="43" fontId="6" fillId="3" borderId="10" xfId="22" applyFont="1" applyFill="1" applyBorder="1" applyAlignment="1">
      <alignment/>
    </xf>
    <xf numFmtId="166" fontId="5" fillId="3" borderId="40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" borderId="41" xfId="0" applyNumberFormat="1" applyFont="1" applyFill="1" applyBorder="1" applyAlignment="1">
      <alignment/>
    </xf>
    <xf numFmtId="4" fontId="6" fillId="3" borderId="4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3" borderId="41" xfId="0" applyNumberFormat="1" applyFont="1" applyFill="1" applyBorder="1" applyAlignment="1">
      <alignment/>
    </xf>
    <xf numFmtId="0" fontId="11" fillId="0" borderId="33" xfId="0" applyFont="1" applyBorder="1" applyAlignment="1">
      <alignment/>
    </xf>
    <xf numFmtId="0" fontId="6" fillId="0" borderId="41" xfId="0" applyFont="1" applyBorder="1" applyAlignment="1">
      <alignment wrapText="1"/>
    </xf>
    <xf numFmtId="3" fontId="6" fillId="0" borderId="41" xfId="0" applyNumberFormat="1" applyFont="1" applyFill="1" applyBorder="1" applyAlignment="1">
      <alignment/>
    </xf>
    <xf numFmtId="43" fontId="6" fillId="3" borderId="41" xfId="22" applyFont="1" applyFill="1" applyBorder="1" applyAlignment="1">
      <alignment/>
    </xf>
    <xf numFmtId="166" fontId="5" fillId="0" borderId="3" xfId="0" applyNumberFormat="1" applyFont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3" borderId="43" xfId="0" applyNumberFormat="1" applyFont="1" applyFill="1" applyBorder="1" applyAlignment="1">
      <alignment/>
    </xf>
    <xf numFmtId="3" fontId="5" fillId="3" borderId="35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3" borderId="38" xfId="0" applyNumberFormat="1" applyFont="1" applyFill="1" applyBorder="1" applyAlignment="1">
      <alignment/>
    </xf>
    <xf numFmtId="0" fontId="6" fillId="3" borderId="41" xfId="0" applyFont="1" applyFill="1" applyBorder="1" applyAlignment="1">
      <alignment/>
    </xf>
    <xf numFmtId="3" fontId="5" fillId="3" borderId="41" xfId="0" applyNumberFormat="1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66" fontId="7" fillId="0" borderId="0" xfId="19" applyNumberFormat="1" applyFont="1" applyBorder="1" applyAlignment="1">
      <alignment horizontal="center" vertical="center"/>
      <protection/>
    </xf>
    <xf numFmtId="0" fontId="5" fillId="0" borderId="0" xfId="18" applyFont="1" applyFill="1" applyAlignment="1">
      <alignment wrapText="1"/>
      <protection/>
    </xf>
    <xf numFmtId="3" fontId="6" fillId="3" borderId="1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/>
    </xf>
    <xf numFmtId="0" fontId="6" fillId="0" borderId="44" xfId="18" applyFont="1" applyFill="1" applyBorder="1" applyAlignment="1" quotePrefix="1">
      <alignment horizontal="center"/>
      <protection/>
    </xf>
    <xf numFmtId="0" fontId="5" fillId="0" borderId="30" xfId="18" applyFont="1" applyFill="1" applyBorder="1" applyAlignment="1">
      <alignment wrapText="1"/>
      <protection/>
    </xf>
    <xf numFmtId="3" fontId="5" fillId="3" borderId="23" xfId="0" applyNumberFormat="1" applyFont="1" applyFill="1" applyBorder="1" applyAlignment="1">
      <alignment horizontal="center"/>
    </xf>
    <xf numFmtId="3" fontId="5" fillId="3" borderId="45" xfId="0" applyNumberFormat="1" applyFont="1" applyFill="1" applyBorder="1" applyAlignment="1">
      <alignment horizontal="center"/>
    </xf>
    <xf numFmtId="0" fontId="6" fillId="0" borderId="13" xfId="18" applyFont="1" applyFill="1" applyBorder="1" applyAlignment="1" quotePrefix="1">
      <alignment horizontal="center"/>
      <protection/>
    </xf>
    <xf numFmtId="3" fontId="6" fillId="3" borderId="46" xfId="0" applyNumberFormat="1" applyFont="1" applyFill="1" applyBorder="1" applyAlignment="1">
      <alignment horizontal="center"/>
    </xf>
    <xf numFmtId="0" fontId="16" fillId="0" borderId="0" xfId="18" applyFont="1" applyFill="1" applyBorder="1" applyAlignment="1">
      <alignment wrapText="1"/>
      <protection/>
    </xf>
    <xf numFmtId="3" fontId="16" fillId="3" borderId="10" xfId="0" applyNumberFormat="1" applyFont="1" applyFill="1" applyBorder="1" applyAlignment="1">
      <alignment horizontal="center"/>
    </xf>
    <xf numFmtId="3" fontId="16" fillId="3" borderId="46" xfId="0" applyNumberFormat="1" applyFont="1" applyFill="1" applyBorder="1" applyAlignment="1">
      <alignment horizontal="center"/>
    </xf>
    <xf numFmtId="0" fontId="6" fillId="0" borderId="47" xfId="18" applyFont="1" applyFill="1" applyBorder="1" applyAlignment="1" quotePrefix="1">
      <alignment horizontal="center"/>
      <protection/>
    </xf>
    <xf numFmtId="0" fontId="16" fillId="0" borderId="28" xfId="18" applyFont="1" applyFill="1" applyBorder="1" applyAlignment="1">
      <alignment horizontal="center" wrapText="1"/>
      <protection/>
    </xf>
    <xf numFmtId="172" fontId="16" fillId="3" borderId="28" xfId="21" applyNumberFormat="1" applyFont="1" applyFill="1" applyBorder="1" applyAlignment="1">
      <alignment horizontal="center" wrapText="1"/>
    </xf>
    <xf numFmtId="172" fontId="16" fillId="3" borderId="48" xfId="21" applyNumberFormat="1" applyFont="1" applyFill="1" applyBorder="1" applyAlignment="1">
      <alignment horizontal="center" wrapText="1"/>
    </xf>
    <xf numFmtId="0" fontId="5" fillId="0" borderId="0" xfId="18" applyFont="1" applyFill="1" applyBorder="1" applyAlignment="1">
      <alignment wrapText="1"/>
      <protection/>
    </xf>
    <xf numFmtId="3" fontId="5" fillId="3" borderId="0" xfId="0" applyNumberFormat="1" applyFont="1" applyFill="1" applyBorder="1" applyAlignment="1">
      <alignment horizontal="center"/>
    </xf>
    <xf numFmtId="3" fontId="5" fillId="3" borderId="49" xfId="0" applyNumberFormat="1" applyFont="1" applyFill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16" fillId="0" borderId="22" xfId="18" applyFont="1" applyFill="1" applyBorder="1" applyAlignment="1">
      <alignment wrapText="1"/>
      <protection/>
    </xf>
    <xf numFmtId="3" fontId="6" fillId="3" borderId="2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6" fillId="0" borderId="2" xfId="18" applyFont="1" applyFill="1" applyBorder="1" applyAlignment="1">
      <alignment horizontal="center" wrapText="1"/>
      <protection/>
    </xf>
    <xf numFmtId="172" fontId="16" fillId="3" borderId="2" xfId="21" applyNumberFormat="1" applyFont="1" applyFill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left" vertical="center" wrapText="1"/>
    </xf>
    <xf numFmtId="3" fontId="6" fillId="0" borderId="51" xfId="0" applyNumberFormat="1" applyFont="1" applyFill="1" applyBorder="1" applyAlignment="1">
      <alignment/>
    </xf>
    <xf numFmtId="0" fontId="5" fillId="3" borderId="22" xfId="0" applyFont="1" applyFill="1" applyBorder="1" applyAlignment="1">
      <alignment wrapText="1"/>
    </xf>
    <xf numFmtId="0" fontId="6" fillId="0" borderId="6" xfId="0" applyFont="1" applyBorder="1" applyAlignment="1">
      <alignment/>
    </xf>
    <xf numFmtId="0" fontId="16" fillId="0" borderId="7" xfId="18" applyFont="1" applyFill="1" applyBorder="1" applyAlignment="1">
      <alignment horizontal="center" wrapText="1"/>
      <protection/>
    </xf>
    <xf numFmtId="4" fontId="6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3" xfId="19" applyNumberFormat="1" applyFont="1" applyFill="1" applyBorder="1" applyAlignment="1">
      <alignment horizontal="center" vertical="center" wrapText="1"/>
      <protection/>
    </xf>
    <xf numFmtId="4" fontId="6" fillId="0" borderId="21" xfId="0" applyNumberFormat="1" applyFont="1" applyFill="1" applyBorder="1" applyAlignment="1" quotePrefix="1">
      <alignment horizontal="center"/>
    </xf>
    <xf numFmtId="3" fontId="6" fillId="4" borderId="5" xfId="0" applyNumberFormat="1" applyFont="1" applyFill="1" applyBorder="1" applyAlignment="1">
      <alignment/>
    </xf>
    <xf numFmtId="4" fontId="6" fillId="0" borderId="6" xfId="0" applyNumberFormat="1" applyFont="1" applyFill="1" applyBorder="1" applyAlignment="1" quotePrefix="1">
      <alignment horizontal="center"/>
    </xf>
    <xf numFmtId="4" fontId="6" fillId="0" borderId="26" xfId="0" applyNumberFormat="1" applyFont="1" applyFill="1" applyBorder="1" applyAlignment="1" quotePrefix="1">
      <alignment horizontal="center"/>
    </xf>
    <xf numFmtId="4" fontId="6" fillId="0" borderId="24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3" borderId="33" xfId="0" applyFont="1" applyFill="1" applyBorder="1" applyAlignment="1">
      <alignment/>
    </xf>
    <xf numFmtId="3" fontId="5" fillId="3" borderId="33" xfId="0" applyNumberFormat="1" applyFont="1" applyFill="1" applyBorder="1" applyAlignment="1">
      <alignment/>
    </xf>
    <xf numFmtId="184" fontId="6" fillId="0" borderId="0" xfId="22" applyNumberFormat="1" applyFont="1" applyAlignment="1">
      <alignment/>
    </xf>
    <xf numFmtId="3" fontId="13" fillId="0" borderId="0" xfId="0" applyNumberFormat="1" applyFont="1" applyAlignment="1">
      <alignment wrapText="1"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4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6" fillId="0" borderId="51" xfId="0" applyFont="1" applyBorder="1" applyAlignment="1">
      <alignment/>
    </xf>
    <xf numFmtId="0" fontId="6" fillId="0" borderId="39" xfId="0" applyFont="1" applyBorder="1" applyAlignment="1">
      <alignment/>
    </xf>
    <xf numFmtId="0" fontId="6" fillId="4" borderId="44" xfId="18" applyFont="1" applyFill="1" applyBorder="1" applyAlignment="1">
      <alignment horizontal="center"/>
      <protection/>
    </xf>
    <xf numFmtId="0" fontId="6" fillId="4" borderId="30" xfId="18" applyFont="1" applyFill="1" applyBorder="1" applyAlignment="1">
      <alignment horizontal="center"/>
      <protection/>
    </xf>
    <xf numFmtId="0" fontId="6" fillId="0" borderId="52" xfId="0" applyFont="1" applyFill="1" applyBorder="1" applyAlignment="1">
      <alignment/>
    </xf>
    <xf numFmtId="0" fontId="6" fillId="4" borderId="13" xfId="18" applyFont="1" applyFill="1" applyBorder="1" applyAlignment="1">
      <alignment horizontal="center"/>
      <protection/>
    </xf>
    <xf numFmtId="0" fontId="6" fillId="4" borderId="0" xfId="18" applyFont="1" applyFill="1" applyBorder="1" applyAlignment="1">
      <alignment horizontal="center"/>
      <protection/>
    </xf>
    <xf numFmtId="0" fontId="6" fillId="4" borderId="0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165" fontId="6" fillId="4" borderId="0" xfId="18" applyNumberFormat="1" applyFont="1" applyFill="1" applyBorder="1" applyAlignment="1">
      <alignment horizontal="center"/>
      <protection/>
    </xf>
    <xf numFmtId="0" fontId="6" fillId="4" borderId="13" xfId="0" applyFont="1" applyFill="1" applyBorder="1" applyAlignment="1">
      <alignment/>
    </xf>
    <xf numFmtId="0" fontId="6" fillId="4" borderId="4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184" fontId="6" fillId="3" borderId="44" xfId="22" applyNumberFormat="1" applyFont="1" applyFill="1" applyBorder="1" applyAlignment="1">
      <alignment horizontal="center"/>
    </xf>
    <xf numFmtId="184" fontId="6" fillId="3" borderId="30" xfId="22" applyNumberFormat="1" applyFont="1" applyFill="1" applyBorder="1" applyAlignment="1">
      <alignment horizontal="center"/>
    </xf>
    <xf numFmtId="184" fontId="6" fillId="3" borderId="13" xfId="22" applyNumberFormat="1" applyFont="1" applyFill="1" applyBorder="1" applyAlignment="1">
      <alignment horizontal="center"/>
    </xf>
    <xf numFmtId="184" fontId="6" fillId="3" borderId="0" xfId="22" applyNumberFormat="1" applyFont="1" applyFill="1" applyBorder="1" applyAlignment="1">
      <alignment horizontal="center"/>
    </xf>
    <xf numFmtId="184" fontId="6" fillId="3" borderId="47" xfId="22" applyNumberFormat="1" applyFont="1" applyFill="1" applyBorder="1" applyAlignment="1">
      <alignment horizontal="center"/>
    </xf>
    <xf numFmtId="184" fontId="6" fillId="3" borderId="28" xfId="22" applyNumberFormat="1" applyFont="1" applyFill="1" applyBorder="1" applyAlignment="1">
      <alignment horizontal="center"/>
    </xf>
    <xf numFmtId="184" fontId="5" fillId="3" borderId="47" xfId="22" applyNumberFormat="1" applyFont="1" applyFill="1" applyBorder="1" applyAlignment="1">
      <alignment horizontal="center"/>
    </xf>
    <xf numFmtId="184" fontId="5" fillId="3" borderId="28" xfId="22" applyNumberFormat="1" applyFont="1" applyFill="1" applyBorder="1" applyAlignment="1">
      <alignment horizontal="center"/>
    </xf>
    <xf numFmtId="43" fontId="6" fillId="3" borderId="13" xfId="22" applyFont="1" applyFill="1" applyBorder="1" applyAlignment="1">
      <alignment horizontal="center"/>
    </xf>
    <xf numFmtId="43" fontId="6" fillId="3" borderId="0" xfId="22" applyFont="1" applyFill="1" applyBorder="1" applyAlignment="1">
      <alignment horizontal="center"/>
    </xf>
    <xf numFmtId="43" fontId="6" fillId="3" borderId="49" xfId="22" applyFont="1" applyFill="1" applyBorder="1" applyAlignment="1">
      <alignment horizontal="center"/>
    </xf>
    <xf numFmtId="0" fontId="6" fillId="0" borderId="13" xfId="18" applyFont="1" applyFill="1" applyBorder="1" applyAlignment="1">
      <alignment horizontal="center"/>
      <protection/>
    </xf>
    <xf numFmtId="0" fontId="6" fillId="0" borderId="49" xfId="18" applyFont="1" applyFill="1" applyBorder="1" applyAlignment="1">
      <alignment horizontal="center"/>
      <protection/>
    </xf>
    <xf numFmtId="3" fontId="5" fillId="3" borderId="44" xfId="18" applyNumberFormat="1" applyFont="1" applyFill="1" applyBorder="1" applyAlignment="1">
      <alignment horizontal="center"/>
      <protection/>
    </xf>
    <xf numFmtId="0" fontId="6" fillId="0" borderId="30" xfId="18" applyFont="1" applyFill="1" applyBorder="1" applyAlignment="1">
      <alignment horizontal="center"/>
      <protection/>
    </xf>
    <xf numFmtId="0" fontId="6" fillId="0" borderId="52" xfId="18" applyFont="1" applyFill="1" applyBorder="1" applyAlignment="1">
      <alignment horizontal="center"/>
      <protection/>
    </xf>
    <xf numFmtId="3" fontId="5" fillId="0" borderId="13" xfId="18" applyNumberFormat="1" applyFont="1" applyFill="1" applyBorder="1" applyAlignment="1">
      <alignment horizontal="center"/>
      <protection/>
    </xf>
    <xf numFmtId="43" fontId="5" fillId="3" borderId="13" xfId="22" applyFont="1" applyFill="1" applyBorder="1" applyAlignment="1">
      <alignment horizontal="center"/>
    </xf>
    <xf numFmtId="0" fontId="6" fillId="0" borderId="44" xfId="18" applyFont="1" applyFill="1" applyBorder="1" applyAlignment="1">
      <alignment horizontal="center"/>
      <protection/>
    </xf>
    <xf numFmtId="43" fontId="6" fillId="0" borderId="47" xfId="22" applyFont="1" applyFill="1" applyBorder="1" applyAlignment="1">
      <alignment horizontal="center"/>
    </xf>
    <xf numFmtId="43" fontId="6" fillId="0" borderId="28" xfId="22" applyFont="1" applyFill="1" applyBorder="1" applyAlignment="1">
      <alignment horizontal="center"/>
    </xf>
    <xf numFmtId="43" fontId="6" fillId="0" borderId="48" xfId="22" applyFont="1" applyFill="1" applyBorder="1" applyAlignment="1">
      <alignment horizontal="center"/>
    </xf>
    <xf numFmtId="0" fontId="13" fillId="0" borderId="0" xfId="0" applyFont="1" applyBorder="1" applyAlignment="1">
      <alignment textRotation="90"/>
    </xf>
    <xf numFmtId="0" fontId="6" fillId="0" borderId="48" xfId="18" applyFont="1" applyFill="1" applyBorder="1" applyAlignment="1">
      <alignment horizontal="center"/>
      <protection/>
    </xf>
    <xf numFmtId="3" fontId="5" fillId="0" borderId="21" xfId="0" applyNumberFormat="1" applyFont="1" applyFill="1" applyBorder="1" applyAlignment="1">
      <alignment/>
    </xf>
    <xf numFmtId="0" fontId="5" fillId="0" borderId="13" xfId="18" applyFont="1" applyFill="1" applyBorder="1" applyAlignment="1">
      <alignment horizontal="center"/>
      <protection/>
    </xf>
    <xf numFmtId="173" fontId="5" fillId="0" borderId="13" xfId="18" applyNumberFormat="1" applyFont="1" applyFill="1" applyBorder="1" applyAlignment="1">
      <alignment horizontal="center"/>
      <protection/>
    </xf>
    <xf numFmtId="173" fontId="6" fillId="0" borderId="47" xfId="18" applyNumberFormat="1" applyFont="1" applyFill="1" applyBorder="1" applyAlignment="1">
      <alignment horizontal="center"/>
      <protection/>
    </xf>
    <xf numFmtId="173" fontId="6" fillId="0" borderId="28" xfId="18" applyNumberFormat="1" applyFont="1" applyFill="1" applyBorder="1" applyAlignment="1">
      <alignment horizontal="center"/>
      <protection/>
    </xf>
    <xf numFmtId="173" fontId="6" fillId="0" borderId="48" xfId="18" applyNumberFormat="1" applyFont="1" applyFill="1" applyBorder="1" applyAlignment="1">
      <alignment horizontal="center"/>
      <protection/>
    </xf>
    <xf numFmtId="0" fontId="6" fillId="4" borderId="47" xfId="18" applyFont="1" applyFill="1" applyBorder="1" applyAlignment="1">
      <alignment horizontal="center"/>
      <protection/>
    </xf>
    <xf numFmtId="0" fontId="6" fillId="4" borderId="28" xfId="18" applyFont="1" applyFill="1" applyBorder="1" applyAlignment="1">
      <alignment horizontal="center"/>
      <protection/>
    </xf>
    <xf numFmtId="0" fontId="6" fillId="0" borderId="25" xfId="0" applyFont="1" applyBorder="1" applyAlignment="1">
      <alignment/>
    </xf>
    <xf numFmtId="3" fontId="6" fillId="3" borderId="45" xfId="0" applyNumberFormat="1" applyFont="1" applyFill="1" applyBorder="1" applyAlignment="1">
      <alignment/>
    </xf>
    <xf numFmtId="3" fontId="6" fillId="3" borderId="46" xfId="0" applyNumberFormat="1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0" borderId="13" xfId="0" applyFont="1" applyBorder="1" applyAlignment="1">
      <alignment/>
    </xf>
    <xf numFmtId="3" fontId="5" fillId="3" borderId="28" xfId="0" applyNumberFormat="1" applyFont="1" applyFill="1" applyBorder="1" applyAlignment="1">
      <alignment/>
    </xf>
    <xf numFmtId="3" fontId="5" fillId="3" borderId="48" xfId="0" applyNumberFormat="1" applyFont="1" applyFill="1" applyBorder="1" applyAlignment="1">
      <alignment/>
    </xf>
    <xf numFmtId="0" fontId="6" fillId="0" borderId="53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3" fontId="6" fillId="4" borderId="22" xfId="0" applyNumberFormat="1" applyFont="1" applyFill="1" applyBorder="1" applyAlignment="1">
      <alignment wrapText="1"/>
    </xf>
    <xf numFmtId="3" fontId="6" fillId="4" borderId="2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3" fontId="5" fillId="3" borderId="45" xfId="0" applyNumberFormat="1" applyFont="1" applyFill="1" applyBorder="1" applyAlignment="1">
      <alignment/>
    </xf>
    <xf numFmtId="3" fontId="5" fillId="3" borderId="54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5" fillId="0" borderId="47" xfId="0" applyFont="1" applyBorder="1" applyAlignment="1">
      <alignment/>
    </xf>
    <xf numFmtId="3" fontId="5" fillId="4" borderId="28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/>
    </xf>
    <xf numFmtId="4" fontId="11" fillId="0" borderId="55" xfId="0" applyNumberFormat="1" applyFont="1" applyFill="1" applyBorder="1" applyAlignment="1">
      <alignment horizontal="left"/>
    </xf>
    <xf numFmtId="0" fontId="6" fillId="0" borderId="53" xfId="0" applyFont="1" applyBorder="1" applyAlignment="1">
      <alignment horizontal="center" wrapText="1"/>
    </xf>
    <xf numFmtId="3" fontId="6" fillId="0" borderId="53" xfId="0" applyNumberFormat="1" applyFont="1" applyFill="1" applyBorder="1" applyAlignment="1">
      <alignment horizontal="center"/>
    </xf>
    <xf numFmtId="3" fontId="6" fillId="0" borderId="56" xfId="0" applyNumberFormat="1" applyFont="1" applyFill="1" applyBorder="1" applyAlignment="1">
      <alignment horizontal="center"/>
    </xf>
    <xf numFmtId="3" fontId="5" fillId="0" borderId="57" xfId="0" applyNumberFormat="1" applyFont="1" applyFill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58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6" fillId="4" borderId="15" xfId="0" applyNumberFormat="1" applyFont="1" applyFill="1" applyBorder="1" applyAlignment="1" quotePrefix="1">
      <alignment horizontal="center"/>
    </xf>
    <xf numFmtId="3" fontId="5" fillId="3" borderId="59" xfId="0" applyNumberFormat="1" applyFont="1" applyFill="1" applyBorder="1" applyAlignment="1">
      <alignment/>
    </xf>
    <xf numFmtId="166" fontId="5" fillId="0" borderId="3" xfId="19" applyNumberFormat="1" applyFont="1" applyFill="1" applyBorder="1" applyAlignment="1">
      <alignment horizontal="center" vertical="center"/>
      <protection/>
    </xf>
    <xf numFmtId="0" fontId="6" fillId="3" borderId="30" xfId="0" applyFont="1" applyFill="1" applyBorder="1" applyAlignment="1">
      <alignment/>
    </xf>
    <xf numFmtId="4" fontId="6" fillId="4" borderId="22" xfId="0" applyNumberFormat="1" applyFont="1" applyFill="1" applyBorder="1" applyAlignment="1" quotePrefix="1">
      <alignment horizontal="center"/>
    </xf>
    <xf numFmtId="4" fontId="6" fillId="4" borderId="22" xfId="0" applyNumberFormat="1" applyFont="1" applyFill="1" applyBorder="1" applyAlignment="1">
      <alignment/>
    </xf>
    <xf numFmtId="4" fontId="6" fillId="4" borderId="39" xfId="0" applyNumberFormat="1" applyFont="1" applyFill="1" applyBorder="1" applyAlignment="1">
      <alignment/>
    </xf>
    <xf numFmtId="4" fontId="6" fillId="4" borderId="60" xfId="0" applyNumberFormat="1" applyFont="1" applyFill="1" applyBorder="1" applyAlignment="1">
      <alignment/>
    </xf>
    <xf numFmtId="4" fontId="6" fillId="2" borderId="6" xfId="0" applyNumberFormat="1" applyFont="1" applyFill="1" applyBorder="1" applyAlignment="1" quotePrefix="1">
      <alignment horizontal="center"/>
    </xf>
    <xf numFmtId="3" fontId="6" fillId="0" borderId="28" xfId="0" applyNumberFormat="1" applyFont="1" applyFill="1" applyBorder="1" applyAlignment="1">
      <alignment horizontal="center"/>
    </xf>
    <xf numFmtId="4" fontId="6" fillId="4" borderId="51" xfId="0" applyNumberFormat="1" applyFont="1" applyFill="1" applyBorder="1" applyAlignment="1" quotePrefix="1">
      <alignment horizontal="center"/>
    </xf>
    <xf numFmtId="4" fontId="6" fillId="4" borderId="37" xfId="0" applyNumberFormat="1" applyFont="1" applyFill="1" applyBorder="1" applyAlignment="1">
      <alignment/>
    </xf>
    <xf numFmtId="4" fontId="6" fillId="4" borderId="61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 horizontal="center"/>
    </xf>
    <xf numFmtId="3" fontId="5" fillId="0" borderId="63" xfId="0" applyNumberFormat="1" applyFont="1" applyFill="1" applyBorder="1" applyAlignment="1">
      <alignment horizontal="center"/>
    </xf>
    <xf numFmtId="4" fontId="6" fillId="2" borderId="50" xfId="0" applyNumberFormat="1" applyFont="1" applyFill="1" applyBorder="1" applyAlignment="1" quotePrefix="1">
      <alignment horizontal="center"/>
    </xf>
    <xf numFmtId="4" fontId="11" fillId="0" borderId="62" xfId="0" applyNumberFormat="1" applyFont="1" applyFill="1" applyBorder="1" applyAlignment="1">
      <alignment horizontal="left"/>
    </xf>
    <xf numFmtId="0" fontId="6" fillId="0" borderId="62" xfId="0" applyFont="1" applyBorder="1" applyAlignment="1">
      <alignment horizontal="center" wrapText="1"/>
    </xf>
    <xf numFmtId="4" fontId="6" fillId="3" borderId="43" xfId="0" applyNumberFormat="1" applyFont="1" applyFill="1" applyBorder="1" applyAlignment="1">
      <alignment/>
    </xf>
    <xf numFmtId="3" fontId="5" fillId="0" borderId="64" xfId="0" applyNumberFormat="1" applyFont="1" applyFill="1" applyBorder="1" applyAlignment="1">
      <alignment horizontal="center"/>
    </xf>
    <xf numFmtId="4" fontId="5" fillId="3" borderId="38" xfId="0" applyNumberFormat="1" applyFont="1" applyFill="1" applyBorder="1" applyAlignment="1">
      <alignment/>
    </xf>
    <xf numFmtId="4" fontId="6" fillId="3" borderId="65" xfId="0" applyNumberFormat="1" applyFont="1" applyFill="1" applyBorder="1" applyAlignment="1">
      <alignment/>
    </xf>
    <xf numFmtId="4" fontId="5" fillId="3" borderId="59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28" xfId="0" applyFont="1" applyFill="1" applyBorder="1" applyAlignment="1">
      <alignment/>
    </xf>
    <xf numFmtId="166" fontId="5" fillId="0" borderId="19" xfId="19" applyNumberFormat="1" applyFont="1" applyFill="1" applyBorder="1" applyAlignment="1">
      <alignment horizontal="center" vertical="center"/>
      <protection/>
    </xf>
    <xf numFmtId="3" fontId="5" fillId="3" borderId="64" xfId="0" applyNumberFormat="1" applyFont="1" applyFill="1" applyBorder="1" applyAlignment="1">
      <alignment/>
    </xf>
    <xf numFmtId="4" fontId="6" fillId="0" borderId="66" xfId="0" applyNumberFormat="1" applyFont="1" applyFill="1" applyBorder="1" applyAlignment="1" quotePrefix="1">
      <alignment horizontal="center"/>
    </xf>
    <xf numFmtId="4" fontId="6" fillId="0" borderId="67" xfId="0" applyNumberFormat="1" applyFont="1" applyFill="1" applyBorder="1" applyAlignment="1" quotePrefix="1">
      <alignment horizontal="center"/>
    </xf>
    <xf numFmtId="3" fontId="6" fillId="3" borderId="54" xfId="0" applyNumberFormat="1" applyFont="1" applyFill="1" applyBorder="1" applyAlignment="1">
      <alignment/>
    </xf>
    <xf numFmtId="3" fontId="6" fillId="3" borderId="49" xfId="0" applyNumberFormat="1" applyFont="1" applyFill="1" applyBorder="1" applyAlignment="1">
      <alignment/>
    </xf>
    <xf numFmtId="4" fontId="6" fillId="0" borderId="68" xfId="0" applyNumberFormat="1" applyFont="1" applyFill="1" applyBorder="1" applyAlignment="1" quotePrefix="1">
      <alignment horizontal="center"/>
    </xf>
    <xf numFmtId="0" fontId="5" fillId="0" borderId="7" xfId="0" applyFont="1" applyBorder="1" applyAlignment="1">
      <alignment wrapText="1"/>
    </xf>
    <xf numFmtId="3" fontId="5" fillId="3" borderId="7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Fill="1" applyBorder="1" applyAlignment="1">
      <alignment wrapText="1"/>
    </xf>
    <xf numFmtId="4" fontId="6" fillId="0" borderId="27" xfId="0" applyNumberFormat="1" applyFont="1" applyFill="1" applyBorder="1" applyAlignment="1">
      <alignment wrapText="1"/>
    </xf>
    <xf numFmtId="0" fontId="5" fillId="0" borderId="69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22" xfId="0" applyFont="1" applyBorder="1" applyAlignment="1">
      <alignment wrapText="1"/>
    </xf>
    <xf numFmtId="0" fontId="5" fillId="0" borderId="49" xfId="0" applyFont="1" applyFill="1" applyBorder="1" applyAlignment="1">
      <alignment/>
    </xf>
    <xf numFmtId="0" fontId="5" fillId="0" borderId="28" xfId="0" applyFont="1" applyBorder="1" applyAlignment="1">
      <alignment/>
    </xf>
    <xf numFmtId="0" fontId="6" fillId="0" borderId="43" xfId="0" applyFont="1" applyBorder="1" applyAlignment="1">
      <alignment wrapText="1"/>
    </xf>
    <xf numFmtId="0" fontId="6" fillId="0" borderId="53" xfId="0" applyFont="1" applyBorder="1" applyAlignment="1">
      <alignment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72" xfId="0" applyFont="1" applyBorder="1" applyAlignment="1">
      <alignment wrapText="1"/>
    </xf>
    <xf numFmtId="0" fontId="6" fillId="0" borderId="71" xfId="0" applyFont="1" applyBorder="1" applyAlignment="1">
      <alignment wrapText="1"/>
    </xf>
    <xf numFmtId="0" fontId="6" fillId="0" borderId="72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4" fontId="6" fillId="2" borderId="11" xfId="0" applyNumberFormat="1" applyFont="1" applyFill="1" applyBorder="1" applyAlignment="1" quotePrefix="1">
      <alignment horizontal="center"/>
    </xf>
    <xf numFmtId="0" fontId="11" fillId="0" borderId="0" xfId="0" applyFont="1" applyBorder="1" applyAlignment="1">
      <alignment/>
    </xf>
    <xf numFmtId="4" fontId="6" fillId="2" borderId="44" xfId="0" applyNumberFormat="1" applyFont="1" applyFill="1" applyBorder="1" applyAlignment="1" quotePrefix="1">
      <alignment horizontal="center"/>
    </xf>
    <xf numFmtId="4" fontId="6" fillId="2" borderId="13" xfId="0" applyNumberFormat="1" applyFont="1" applyFill="1" applyBorder="1" applyAlignment="1" quotePrefix="1">
      <alignment horizontal="center"/>
    </xf>
    <xf numFmtId="0" fontId="6" fillId="0" borderId="47" xfId="0" applyFont="1" applyBorder="1" applyAlignment="1">
      <alignment/>
    </xf>
    <xf numFmtId="3" fontId="6" fillId="0" borderId="48" xfId="0" applyNumberFormat="1" applyFont="1" applyFill="1" applyBorder="1" applyAlignment="1">
      <alignment horizontal="center"/>
    </xf>
    <xf numFmtId="4" fontId="6" fillId="2" borderId="67" xfId="0" applyNumberFormat="1" applyFont="1" applyFill="1" applyBorder="1" applyAlignment="1" quotePrefix="1">
      <alignment horizontal="center"/>
    </xf>
    <xf numFmtId="0" fontId="6" fillId="0" borderId="17" xfId="0" applyFont="1" applyBorder="1" applyAlignment="1">
      <alignment wrapText="1"/>
    </xf>
    <xf numFmtId="3" fontId="6" fillId="0" borderId="64" xfId="0" applyNumberFormat="1" applyFont="1" applyFill="1" applyBorder="1" applyAlignment="1">
      <alignment horizontal="center"/>
    </xf>
    <xf numFmtId="0" fontId="6" fillId="0" borderId="64" xfId="0" applyFont="1" applyBorder="1" applyAlignment="1">
      <alignment/>
    </xf>
    <xf numFmtId="0" fontId="11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3" fontId="6" fillId="0" borderId="73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>
      <alignment horizontal="center"/>
    </xf>
    <xf numFmtId="0" fontId="11" fillId="0" borderId="73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13" xfId="0" applyFont="1" applyBorder="1" applyAlignment="1">
      <alignment/>
    </xf>
    <xf numFmtId="4" fontId="6" fillId="0" borderId="30" xfId="0" applyNumberFormat="1" applyFont="1" applyFill="1" applyBorder="1" applyAlignment="1" quotePrefix="1">
      <alignment horizontal="center"/>
    </xf>
    <xf numFmtId="4" fontId="6" fillId="0" borderId="22" xfId="0" applyNumberFormat="1" applyFont="1" applyFill="1" applyBorder="1" applyAlignment="1" quotePrefix="1">
      <alignment horizontal="center"/>
    </xf>
    <xf numFmtId="4" fontId="6" fillId="0" borderId="23" xfId="0" applyNumberFormat="1" applyFont="1" applyFill="1" applyBorder="1" applyAlignment="1" quotePrefix="1">
      <alignment horizontal="center"/>
    </xf>
    <xf numFmtId="4" fontId="6" fillId="0" borderId="17" xfId="0" applyNumberFormat="1" applyFont="1" applyFill="1" applyBorder="1" applyAlignment="1" quotePrefix="1">
      <alignment horizontal="center"/>
    </xf>
    <xf numFmtId="0" fontId="5" fillId="0" borderId="74" xfId="0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 quotePrefix="1">
      <alignment horizontal="center"/>
    </xf>
    <xf numFmtId="0" fontId="5" fillId="0" borderId="6" xfId="0" applyFont="1" applyBorder="1" applyAlignment="1">
      <alignment wrapText="1"/>
    </xf>
    <xf numFmtId="4" fontId="6" fillId="0" borderId="7" xfId="0" applyNumberFormat="1" applyFont="1" applyFill="1" applyBorder="1" applyAlignment="1" quotePrefix="1">
      <alignment horizontal="center"/>
    </xf>
    <xf numFmtId="43" fontId="6" fillId="3" borderId="23" xfId="22" applyFont="1" applyFill="1" applyBorder="1" applyAlignment="1">
      <alignment/>
    </xf>
    <xf numFmtId="43" fontId="6" fillId="3" borderId="45" xfId="22" applyFont="1" applyFill="1" applyBorder="1" applyAlignment="1">
      <alignment/>
    </xf>
    <xf numFmtId="43" fontId="6" fillId="3" borderId="46" xfId="22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4" fontId="5" fillId="3" borderId="40" xfId="0" applyNumberFormat="1" applyFont="1" applyFill="1" applyBorder="1" applyAlignment="1">
      <alignment/>
    </xf>
    <xf numFmtId="43" fontId="6" fillId="3" borderId="42" xfId="22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68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3" fontId="6" fillId="4" borderId="22" xfId="0" applyNumberFormat="1" applyFont="1" applyFill="1" applyBorder="1" applyAlignment="1">
      <alignment/>
    </xf>
    <xf numFmtId="0" fontId="11" fillId="0" borderId="7" xfId="0" applyFont="1" applyBorder="1" applyAlignment="1">
      <alignment/>
    </xf>
    <xf numFmtId="3" fontId="6" fillId="0" borderId="2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166" fontId="5" fillId="0" borderId="47" xfId="0" applyNumberFormat="1" applyFont="1" applyFill="1" applyBorder="1" applyAlignment="1">
      <alignment/>
    </xf>
    <xf numFmtId="0" fontId="5" fillId="0" borderId="0" xfId="18" applyFont="1" applyFill="1" applyBorder="1">
      <alignment/>
      <protection/>
    </xf>
    <xf numFmtId="0" fontId="6" fillId="0" borderId="0" xfId="18" applyFont="1" applyFill="1" applyBorder="1">
      <alignment/>
      <protection/>
    </xf>
    <xf numFmtId="0" fontId="6" fillId="0" borderId="0" xfId="18" applyFont="1" applyFill="1" applyBorder="1" applyAlignment="1">
      <alignment horizontal="left" indent="2"/>
      <protection/>
    </xf>
    <xf numFmtId="0" fontId="6" fillId="0" borderId="2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5" fillId="2" borderId="21" xfId="0" applyNumberFormat="1" applyFont="1" applyFill="1" applyBorder="1" applyAlignment="1" quotePrefix="1">
      <alignment horizontal="center"/>
    </xf>
    <xf numFmtId="0" fontId="5" fillId="3" borderId="30" xfId="18" applyFont="1" applyFill="1" applyBorder="1">
      <alignment/>
      <protection/>
    </xf>
    <xf numFmtId="0" fontId="6" fillId="3" borderId="0" xfId="18" applyFont="1" applyFill="1" applyBorder="1">
      <alignment/>
      <protection/>
    </xf>
    <xf numFmtId="0" fontId="6" fillId="3" borderId="0" xfId="18" applyFont="1" applyFill="1" applyBorder="1" applyAlignment="1">
      <alignment horizontal="left" indent="2"/>
      <protection/>
    </xf>
    <xf numFmtId="0" fontId="6" fillId="3" borderId="28" xfId="18" applyFont="1" applyFill="1" applyBorder="1" applyAlignment="1">
      <alignment horizontal="left" indent="2"/>
      <protection/>
    </xf>
    <xf numFmtId="3" fontId="6" fillId="3" borderId="48" xfId="0" applyNumberFormat="1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3" fontId="5" fillId="3" borderId="52" xfId="0" applyNumberFormat="1" applyFont="1" applyFill="1" applyBorder="1" applyAlignment="1">
      <alignment/>
    </xf>
    <xf numFmtId="4" fontId="10" fillId="2" borderId="16" xfId="0" applyNumberFormat="1" applyFont="1" applyFill="1" applyBorder="1" applyAlignment="1" quotePrefix="1">
      <alignment horizontal="center"/>
    </xf>
    <xf numFmtId="0" fontId="9" fillId="3" borderId="16" xfId="0" applyFont="1" applyFill="1" applyBorder="1" applyAlignment="1">
      <alignment/>
    </xf>
    <xf numFmtId="3" fontId="6" fillId="4" borderId="49" xfId="0" applyNumberFormat="1" applyFont="1" applyFill="1" applyBorder="1" applyAlignment="1">
      <alignment/>
    </xf>
    <xf numFmtId="4" fontId="5" fillId="2" borderId="66" xfId="0" applyNumberFormat="1" applyFont="1" applyFill="1" applyBorder="1" applyAlignment="1" quotePrefix="1">
      <alignment horizontal="center"/>
    </xf>
    <xf numFmtId="0" fontId="5" fillId="3" borderId="23" xfId="18" applyFont="1" applyFill="1" applyBorder="1">
      <alignment/>
      <protection/>
    </xf>
    <xf numFmtId="0" fontId="6" fillId="3" borderId="17" xfId="18" applyFont="1" applyFill="1" applyBorder="1">
      <alignment/>
      <protection/>
    </xf>
    <xf numFmtId="3" fontId="6" fillId="4" borderId="54" xfId="0" applyNumberFormat="1" applyFont="1" applyFill="1" applyBorder="1" applyAlignment="1">
      <alignment/>
    </xf>
    <xf numFmtId="0" fontId="6" fillId="3" borderId="17" xfId="18" applyFont="1" applyFill="1" applyBorder="1" applyAlignment="1">
      <alignment horizontal="left" indent="2"/>
      <protection/>
    </xf>
    <xf numFmtId="4" fontId="6" fillId="2" borderId="68" xfId="0" applyNumberFormat="1" applyFont="1" applyFill="1" applyBorder="1" applyAlignment="1" quotePrefix="1">
      <alignment horizontal="center"/>
    </xf>
    <xf numFmtId="0" fontId="6" fillId="3" borderId="62" xfId="18" applyFont="1" applyFill="1" applyBorder="1">
      <alignment/>
      <protection/>
    </xf>
    <xf numFmtId="3" fontId="6" fillId="4" borderId="62" xfId="0" applyNumberFormat="1" applyFont="1" applyFill="1" applyBorder="1" applyAlignment="1">
      <alignment/>
    </xf>
    <xf numFmtId="3" fontId="6" fillId="4" borderId="63" xfId="0" applyNumberFormat="1" applyFont="1" applyFill="1" applyBorder="1" applyAlignment="1">
      <alignment/>
    </xf>
    <xf numFmtId="0" fontId="6" fillId="3" borderId="62" xfId="18" applyFont="1" applyFill="1" applyBorder="1" applyAlignment="1">
      <alignment horizontal="left" indent="2"/>
      <protection/>
    </xf>
    <xf numFmtId="0" fontId="5" fillId="3" borderId="23" xfId="18" applyFont="1" applyFill="1" applyBorder="1" applyAlignment="1">
      <alignment horizontal="left" indent="2"/>
      <protection/>
    </xf>
    <xf numFmtId="3" fontId="11" fillId="3" borderId="29" xfId="0" applyNumberFormat="1" applyFont="1" applyFill="1" applyBorder="1" applyAlignment="1">
      <alignment/>
    </xf>
    <xf numFmtId="0" fontId="6" fillId="0" borderId="30" xfId="18" applyFont="1" applyFill="1" applyBorder="1" applyAlignment="1">
      <alignment horizontal="left" indent="2"/>
      <protection/>
    </xf>
    <xf numFmtId="3" fontId="6" fillId="0" borderId="52" xfId="0" applyNumberFormat="1" applyFont="1" applyFill="1" applyBorder="1" applyAlignment="1">
      <alignment/>
    </xf>
    <xf numFmtId="3" fontId="11" fillId="3" borderId="28" xfId="0" applyNumberFormat="1" applyFont="1" applyFill="1" applyBorder="1" applyAlignment="1">
      <alignment/>
    </xf>
    <xf numFmtId="3" fontId="11" fillId="3" borderId="48" xfId="0" applyNumberFormat="1" applyFont="1" applyFill="1" applyBorder="1" applyAlignment="1">
      <alignment/>
    </xf>
    <xf numFmtId="4" fontId="6" fillId="0" borderId="44" xfId="0" applyNumberFormat="1" applyFont="1" applyFill="1" applyBorder="1" applyAlignment="1" quotePrefix="1">
      <alignment horizontal="center"/>
    </xf>
    <xf numFmtId="4" fontId="5" fillId="2" borderId="67" xfId="0" applyNumberFormat="1" applyFont="1" applyFill="1" applyBorder="1" applyAlignment="1" quotePrefix="1">
      <alignment horizontal="center"/>
    </xf>
    <xf numFmtId="0" fontId="5" fillId="0" borderId="17" xfId="18" applyFont="1" applyFill="1" applyBorder="1">
      <alignment/>
      <protection/>
    </xf>
    <xf numFmtId="0" fontId="11" fillId="0" borderId="17" xfId="0" applyFont="1" applyBorder="1" applyAlignment="1">
      <alignment wrapText="1"/>
    </xf>
    <xf numFmtId="3" fontId="11" fillId="3" borderId="17" xfId="0" applyNumberFormat="1" applyFont="1" applyFill="1" applyBorder="1" applyAlignment="1">
      <alignment/>
    </xf>
    <xf numFmtId="3" fontId="11" fillId="3" borderId="54" xfId="0" applyNumberFormat="1" applyFont="1" applyFill="1" applyBorder="1" applyAlignment="1">
      <alignment/>
    </xf>
    <xf numFmtId="4" fontId="6" fillId="0" borderId="47" xfId="0" applyNumberFormat="1" applyFont="1" applyFill="1" applyBorder="1" applyAlignment="1" quotePrefix="1">
      <alignment horizontal="center"/>
    </xf>
    <xf numFmtId="0" fontId="11" fillId="0" borderId="62" xfId="0" applyFont="1" applyBorder="1" applyAlignment="1">
      <alignment wrapText="1"/>
    </xf>
    <xf numFmtId="3" fontId="11" fillId="3" borderId="38" xfId="0" applyNumberFormat="1" applyFont="1" applyFill="1" applyBorder="1" applyAlignment="1">
      <alignment/>
    </xf>
    <xf numFmtId="4" fontId="5" fillId="0" borderId="12" xfId="0" applyNumberFormat="1" applyFont="1" applyFill="1" applyBorder="1" applyAlignment="1" quotePrefix="1">
      <alignment horizontal="left"/>
    </xf>
    <xf numFmtId="4" fontId="6" fillId="2" borderId="55" xfId="0" applyNumberFormat="1" applyFont="1" applyFill="1" applyBorder="1" applyAlignment="1" quotePrefix="1">
      <alignment horizontal="center"/>
    </xf>
    <xf numFmtId="0" fontId="6" fillId="3" borderId="53" xfId="18" applyFont="1" applyFill="1" applyBorder="1" applyAlignment="1">
      <alignment horizontal="left" indent="2"/>
      <protection/>
    </xf>
    <xf numFmtId="3" fontId="6" fillId="4" borderId="53" xfId="0" applyNumberFormat="1" applyFont="1" applyFill="1" applyBorder="1" applyAlignment="1">
      <alignment/>
    </xf>
    <xf numFmtId="3" fontId="6" fillId="4" borderId="56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4" fontId="5" fillId="0" borderId="13" xfId="0" applyNumberFormat="1" applyFont="1" applyFill="1" applyBorder="1" applyAlignment="1" quotePrefix="1">
      <alignment horizontal="left"/>
    </xf>
    <xf numFmtId="3" fontId="5" fillId="0" borderId="49" xfId="0" applyNumberFormat="1" applyFont="1" applyFill="1" applyBorder="1" applyAlignment="1">
      <alignment/>
    </xf>
    <xf numFmtId="0" fontId="11" fillId="0" borderId="28" xfId="0" applyFont="1" applyBorder="1" applyAlignment="1">
      <alignment wrapText="1"/>
    </xf>
    <xf numFmtId="4" fontId="5" fillId="0" borderId="44" xfId="0" applyNumberFormat="1" applyFont="1" applyFill="1" applyBorder="1" applyAlignment="1" quotePrefix="1">
      <alignment horizontal="left"/>
    </xf>
    <xf numFmtId="3" fontId="11" fillId="4" borderId="62" xfId="0" applyNumberFormat="1" applyFont="1" applyFill="1" applyBorder="1" applyAlignment="1">
      <alignment/>
    </xf>
    <xf numFmtId="3" fontId="11" fillId="4" borderId="63" xfId="0" applyNumberFormat="1" applyFont="1" applyFill="1" applyBorder="1" applyAlignment="1">
      <alignment/>
    </xf>
    <xf numFmtId="172" fontId="16" fillId="3" borderId="7" xfId="21" applyNumberFormat="1" applyFont="1" applyFill="1" applyBorder="1" applyAlignment="1">
      <alignment horizontal="center" wrapText="1"/>
    </xf>
    <xf numFmtId="172" fontId="16" fillId="3" borderId="72" xfId="21" applyNumberFormat="1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6" fillId="0" borderId="28" xfId="18" applyFont="1" applyFill="1" applyBorder="1" applyAlignment="1">
      <alignment wrapText="1"/>
      <protection/>
    </xf>
    <xf numFmtId="3" fontId="5" fillId="3" borderId="28" xfId="0" applyNumberFormat="1" applyFont="1" applyFill="1" applyBorder="1" applyAlignment="1">
      <alignment horizontal="center"/>
    </xf>
    <xf numFmtId="166" fontId="7" fillId="0" borderId="14" xfId="19" applyNumberFormat="1" applyFont="1" applyFill="1" applyBorder="1" applyAlignment="1">
      <alignment horizontal="center" vertical="center"/>
      <protection/>
    </xf>
    <xf numFmtId="0" fontId="16" fillId="3" borderId="64" xfId="18" applyFont="1" applyFill="1" applyBorder="1" applyAlignment="1">
      <alignment horizontal="center" wrapText="1"/>
      <protection/>
    </xf>
    <xf numFmtId="0" fontId="5" fillId="3" borderId="63" xfId="0" applyFont="1" applyFill="1" applyBorder="1" applyAlignment="1">
      <alignment/>
    </xf>
    <xf numFmtId="3" fontId="16" fillId="3" borderId="17" xfId="0" applyNumberFormat="1" applyFont="1" applyFill="1" applyBorder="1" applyAlignment="1">
      <alignment horizontal="center"/>
    </xf>
    <xf numFmtId="3" fontId="16" fillId="3" borderId="54" xfId="0" applyNumberFormat="1" applyFont="1" applyFill="1" applyBorder="1" applyAlignment="1">
      <alignment horizontal="center"/>
    </xf>
    <xf numFmtId="172" fontId="16" fillId="3" borderId="62" xfId="21" applyNumberFormat="1" applyFont="1" applyFill="1" applyBorder="1" applyAlignment="1">
      <alignment horizontal="center" wrapText="1"/>
    </xf>
    <xf numFmtId="172" fontId="16" fillId="3" borderId="63" xfId="21" applyNumberFormat="1" applyFont="1" applyFill="1" applyBorder="1" applyAlignment="1">
      <alignment horizontal="center" wrapText="1"/>
    </xf>
    <xf numFmtId="3" fontId="6" fillId="3" borderId="71" xfId="0" applyNumberFormat="1" applyFont="1" applyFill="1" applyBorder="1" applyAlignment="1">
      <alignment horizontal="center"/>
    </xf>
    <xf numFmtId="172" fontId="16" fillId="3" borderId="43" xfId="21" applyNumberFormat="1" applyFont="1" applyFill="1" applyBorder="1" applyAlignment="1">
      <alignment horizontal="center" wrapText="1"/>
    </xf>
    <xf numFmtId="3" fontId="6" fillId="0" borderId="75" xfId="0" applyNumberFormat="1" applyFont="1" applyFill="1" applyBorder="1" applyAlignment="1">
      <alignment/>
    </xf>
    <xf numFmtId="3" fontId="6" fillId="3" borderId="35" xfId="0" applyNumberFormat="1" applyFont="1" applyFill="1" applyBorder="1" applyAlignment="1">
      <alignment horizontal="center"/>
    </xf>
    <xf numFmtId="172" fontId="17" fillId="3" borderId="38" xfId="21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>
      <alignment/>
    </xf>
    <xf numFmtId="172" fontId="16" fillId="3" borderId="38" xfId="21" applyNumberFormat="1" applyFont="1" applyFill="1" applyBorder="1" applyAlignment="1">
      <alignment horizontal="center" wrapText="1"/>
    </xf>
    <xf numFmtId="172" fontId="16" fillId="3" borderId="64" xfId="21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/>
    </xf>
    <xf numFmtId="0" fontId="6" fillId="3" borderId="30" xfId="18" applyFont="1" applyFill="1" applyBorder="1">
      <alignment/>
      <protection/>
    </xf>
    <xf numFmtId="3" fontId="6" fillId="4" borderId="23" xfId="0" applyNumberFormat="1" applyFont="1" applyFill="1" applyBorder="1" applyAlignment="1">
      <alignment/>
    </xf>
    <xf numFmtId="3" fontId="6" fillId="4" borderId="45" xfId="0" applyNumberFormat="1" applyFont="1" applyFill="1" applyBorder="1" applyAlignment="1">
      <alignment/>
    </xf>
    <xf numFmtId="3" fontId="6" fillId="4" borderId="46" xfId="0" applyNumberFormat="1" applyFont="1" applyFill="1" applyBorder="1" applyAlignment="1">
      <alignment/>
    </xf>
    <xf numFmtId="3" fontId="6" fillId="4" borderId="30" xfId="0" applyNumberFormat="1" applyFont="1" applyFill="1" applyBorder="1" applyAlignment="1">
      <alignment/>
    </xf>
    <xf numFmtId="3" fontId="6" fillId="4" borderId="52" xfId="0" applyNumberFormat="1" applyFont="1" applyFill="1" applyBorder="1" applyAlignment="1">
      <alignment/>
    </xf>
    <xf numFmtId="4" fontId="6" fillId="0" borderId="40" xfId="0" applyNumberFormat="1" applyFont="1" applyFill="1" applyBorder="1" applyAlignment="1" quotePrefix="1">
      <alignment horizontal="center"/>
    </xf>
    <xf numFmtId="0" fontId="5" fillId="0" borderId="41" xfId="18" applyFont="1" applyFill="1" applyBorder="1">
      <alignment/>
      <protection/>
    </xf>
    <xf numFmtId="3" fontId="5" fillId="4" borderId="41" xfId="0" applyNumberFormat="1" applyFont="1" applyFill="1" applyBorder="1" applyAlignment="1">
      <alignment/>
    </xf>
    <xf numFmtId="3" fontId="5" fillId="4" borderId="42" xfId="0" applyNumberFormat="1" applyFont="1" applyFill="1" applyBorder="1" applyAlignment="1">
      <alignment/>
    </xf>
    <xf numFmtId="0" fontId="5" fillId="3" borderId="40" xfId="0" applyFont="1" applyFill="1" applyBorder="1" applyAlignment="1">
      <alignment/>
    </xf>
    <xf numFmtId="4" fontId="6" fillId="0" borderId="28" xfId="0" applyNumberFormat="1" applyFont="1" applyFill="1" applyBorder="1" applyAlignment="1" quotePrefix="1">
      <alignment horizontal="center"/>
    </xf>
    <xf numFmtId="0" fontId="6" fillId="0" borderId="28" xfId="0" applyFont="1" applyFill="1" applyBorder="1" applyAlignment="1">
      <alignment wrapText="1"/>
    </xf>
    <xf numFmtId="4" fontId="6" fillId="0" borderId="28" xfId="0" applyNumberFormat="1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3" fontId="6" fillId="0" borderId="17" xfId="0" applyNumberFormat="1" applyFont="1" applyFill="1" applyBorder="1" applyAlignment="1">
      <alignment wrapText="1"/>
    </xf>
    <xf numFmtId="9" fontId="6" fillId="4" borderId="17" xfId="21" applyFont="1" applyFill="1" applyBorder="1" applyAlignment="1">
      <alignment/>
    </xf>
    <xf numFmtId="9" fontId="6" fillId="4" borderId="54" xfId="21" applyFont="1" applyFill="1" applyBorder="1" applyAlignment="1">
      <alignment/>
    </xf>
    <xf numFmtId="0" fontId="6" fillId="0" borderId="62" xfId="0" applyFont="1" applyFill="1" applyBorder="1" applyAlignment="1">
      <alignment wrapText="1"/>
    </xf>
    <xf numFmtId="3" fontId="6" fillId="4" borderId="62" xfId="0" applyNumberFormat="1" applyFont="1" applyFill="1" applyBorder="1" applyAlignment="1">
      <alignment wrapText="1"/>
    </xf>
    <xf numFmtId="3" fontId="6" fillId="3" borderId="62" xfId="0" applyNumberFormat="1" applyFont="1" applyFill="1" applyBorder="1" applyAlignment="1">
      <alignment/>
    </xf>
    <xf numFmtId="3" fontId="6" fillId="3" borderId="63" xfId="0" applyNumberFormat="1" applyFont="1" applyFill="1" applyBorder="1" applyAlignment="1">
      <alignment/>
    </xf>
    <xf numFmtId="3" fontId="5" fillId="3" borderId="34" xfId="0" applyNumberFormat="1" applyFont="1" applyFill="1" applyBorder="1" applyAlignment="1">
      <alignment/>
    </xf>
    <xf numFmtId="0" fontId="7" fillId="0" borderId="66" xfId="0" applyFont="1" applyBorder="1" applyAlignment="1">
      <alignment horizontal="center" vertical="center" wrapText="1"/>
    </xf>
    <xf numFmtId="0" fontId="5" fillId="0" borderId="23" xfId="18" applyFont="1" applyFill="1" applyBorder="1" applyAlignment="1">
      <alignment wrapText="1"/>
      <protection/>
    </xf>
    <xf numFmtId="3" fontId="5" fillId="3" borderId="23" xfId="18" applyNumberFormat="1" applyFont="1" applyFill="1" applyBorder="1" applyAlignment="1">
      <alignment wrapText="1"/>
      <protection/>
    </xf>
    <xf numFmtId="3" fontId="5" fillId="3" borderId="45" xfId="18" applyNumberFormat="1" applyFont="1" applyFill="1" applyBorder="1" applyAlignment="1">
      <alignment wrapText="1"/>
      <protection/>
    </xf>
    <xf numFmtId="0" fontId="7" fillId="0" borderId="67" xfId="0" applyFont="1" applyBorder="1" applyAlignment="1">
      <alignment horizontal="center" vertical="center" wrapText="1"/>
    </xf>
    <xf numFmtId="0" fontId="6" fillId="0" borderId="17" xfId="18" applyFont="1" applyFill="1" applyBorder="1" applyAlignment="1">
      <alignment wrapText="1"/>
      <protection/>
    </xf>
    <xf numFmtId="3" fontId="6" fillId="4" borderId="17" xfId="18" applyNumberFormat="1" applyFont="1" applyFill="1" applyBorder="1" applyAlignment="1">
      <alignment wrapText="1"/>
      <protection/>
    </xf>
    <xf numFmtId="3" fontId="6" fillId="3" borderId="17" xfId="18" applyNumberFormat="1" applyFont="1" applyFill="1" applyBorder="1" applyAlignment="1">
      <alignment wrapText="1"/>
      <protection/>
    </xf>
    <xf numFmtId="3" fontId="6" fillId="3" borderId="54" xfId="18" applyNumberFormat="1" applyFont="1" applyFill="1" applyBorder="1" applyAlignment="1">
      <alignment wrapText="1"/>
      <protection/>
    </xf>
    <xf numFmtId="0" fontId="6" fillId="0" borderId="17" xfId="0" applyFont="1" applyBorder="1" applyAlignment="1">
      <alignment horizontal="left" wrapText="1" indent="1"/>
    </xf>
    <xf numFmtId="0" fontId="6" fillId="4" borderId="17" xfId="0" applyFont="1" applyFill="1" applyBorder="1" applyAlignment="1">
      <alignment/>
    </xf>
    <xf numFmtId="0" fontId="6" fillId="4" borderId="54" xfId="0" applyFont="1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 wrapText="1"/>
    </xf>
    <xf numFmtId="0" fontId="5" fillId="0" borderId="17" xfId="18" applyFont="1" applyFill="1" applyBorder="1" applyAlignment="1">
      <alignment wrapText="1"/>
      <protection/>
    </xf>
    <xf numFmtId="3" fontId="5" fillId="3" borderId="17" xfId="18" applyNumberFormat="1" applyFont="1" applyFill="1" applyBorder="1" applyAlignment="1">
      <alignment wrapText="1"/>
      <protection/>
    </xf>
    <xf numFmtId="3" fontId="5" fillId="3" borderId="54" xfId="18" applyNumberFormat="1" applyFont="1" applyFill="1" applyBorder="1" applyAlignment="1">
      <alignment wrapText="1"/>
      <protection/>
    </xf>
    <xf numFmtId="0" fontId="5" fillId="0" borderId="62" xfId="18" applyFont="1" applyFill="1" applyBorder="1" applyAlignment="1">
      <alignment wrapText="1"/>
      <protection/>
    </xf>
    <xf numFmtId="3" fontId="5" fillId="0" borderId="62" xfId="18" applyNumberFormat="1" applyFont="1" applyFill="1" applyBorder="1" applyAlignment="1">
      <alignment wrapText="1"/>
      <protection/>
    </xf>
    <xf numFmtId="3" fontId="5" fillId="0" borderId="63" xfId="18" applyNumberFormat="1" applyFont="1" applyFill="1" applyBorder="1" applyAlignment="1">
      <alignment wrapText="1"/>
      <protection/>
    </xf>
    <xf numFmtId="3" fontId="5" fillId="0" borderId="23" xfId="18" applyNumberFormat="1" applyFont="1" applyFill="1" applyBorder="1" applyAlignment="1">
      <alignment wrapText="1"/>
      <protection/>
    </xf>
    <xf numFmtId="3" fontId="5" fillId="0" borderId="45" xfId="18" applyNumberFormat="1" applyFont="1" applyFill="1" applyBorder="1" applyAlignment="1">
      <alignment wrapText="1"/>
      <protection/>
    </xf>
    <xf numFmtId="3" fontId="6" fillId="0" borderId="17" xfId="18" applyNumberFormat="1" applyFont="1" applyFill="1" applyBorder="1" applyAlignment="1">
      <alignment horizontal="center" wrapText="1"/>
      <protection/>
    </xf>
    <xf numFmtId="3" fontId="6" fillId="0" borderId="54" xfId="18" applyNumberFormat="1" applyFont="1" applyFill="1" applyBorder="1" applyAlignment="1">
      <alignment horizontal="center" wrapText="1"/>
      <protection/>
    </xf>
    <xf numFmtId="3" fontId="6" fillId="0" borderId="17" xfId="0" applyNumberFormat="1" applyFont="1" applyBorder="1" applyAlignment="1">
      <alignment wrapText="1"/>
    </xf>
    <xf numFmtId="3" fontId="6" fillId="0" borderId="54" xfId="0" applyNumberFormat="1" applyFont="1" applyBorder="1" applyAlignment="1">
      <alignment wrapText="1"/>
    </xf>
    <xf numFmtId="3" fontId="5" fillId="3" borderId="17" xfId="0" applyNumberFormat="1" applyFont="1" applyFill="1" applyBorder="1" applyAlignment="1">
      <alignment wrapText="1"/>
    </xf>
    <xf numFmtId="3" fontId="5" fillId="3" borderId="54" xfId="0" applyNumberFormat="1" applyFont="1" applyFill="1" applyBorder="1" applyAlignment="1">
      <alignment wrapText="1"/>
    </xf>
    <xf numFmtId="3" fontId="6" fillId="4" borderId="54" xfId="18" applyNumberFormat="1" applyFont="1" applyFill="1" applyBorder="1" applyAlignment="1">
      <alignment wrapText="1"/>
      <protection/>
    </xf>
    <xf numFmtId="0" fontId="6" fillId="0" borderId="62" xfId="0" applyFont="1" applyBorder="1" applyAlignment="1">
      <alignment wrapText="1"/>
    </xf>
    <xf numFmtId="3" fontId="6" fillId="0" borderId="62" xfId="0" applyNumberFormat="1" applyFont="1" applyBorder="1" applyAlignment="1">
      <alignment wrapText="1"/>
    </xf>
    <xf numFmtId="3" fontId="6" fillId="0" borderId="63" xfId="0" applyNumberFormat="1" applyFont="1" applyBorder="1" applyAlignment="1">
      <alignment wrapText="1"/>
    </xf>
    <xf numFmtId="3" fontId="6" fillId="0" borderId="54" xfId="0" applyNumberFormat="1" applyFont="1" applyFill="1" applyBorder="1" applyAlignment="1">
      <alignment/>
    </xf>
    <xf numFmtId="3" fontId="6" fillId="0" borderId="17" xfId="18" applyNumberFormat="1" applyFont="1" applyFill="1" applyBorder="1" applyAlignment="1">
      <alignment wrapText="1"/>
      <protection/>
    </xf>
    <xf numFmtId="3" fontId="6" fillId="0" borderId="54" xfId="18" applyNumberFormat="1" applyFont="1" applyFill="1" applyBorder="1" applyAlignment="1">
      <alignment wrapText="1"/>
      <protection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7" fillId="0" borderId="62" xfId="18" applyFont="1" applyFill="1" applyBorder="1" applyAlignment="1">
      <alignment wrapText="1"/>
      <protection/>
    </xf>
    <xf numFmtId="3" fontId="17" fillId="3" borderId="62" xfId="18" applyNumberFormat="1" applyFont="1" applyFill="1" applyBorder="1" applyAlignment="1">
      <alignment wrapText="1"/>
      <protection/>
    </xf>
    <xf numFmtId="3" fontId="17" fillId="3" borderId="63" xfId="18" applyNumberFormat="1" applyFont="1" applyFill="1" applyBorder="1" applyAlignment="1">
      <alignment wrapText="1"/>
      <protection/>
    </xf>
    <xf numFmtId="0" fontId="6" fillId="2" borderId="44" xfId="18" applyFont="1" applyFill="1" applyBorder="1" applyAlignment="1" quotePrefix="1">
      <alignment horizontal="center"/>
      <protection/>
    </xf>
    <xf numFmtId="0" fontId="6" fillId="2" borderId="13" xfId="18" applyFont="1" applyFill="1" applyBorder="1" applyAlignment="1" quotePrefix="1">
      <alignment horizontal="center"/>
      <protection/>
    </xf>
    <xf numFmtId="0" fontId="5" fillId="3" borderId="30" xfId="18" applyFont="1" applyFill="1" applyBorder="1" applyAlignment="1">
      <alignment wrapText="1"/>
      <protection/>
    </xf>
    <xf numFmtId="0" fontId="6" fillId="3" borderId="0" xfId="18" applyFont="1" applyFill="1" applyBorder="1" applyAlignment="1">
      <alignment horizontal="left" wrapText="1" indent="2"/>
      <protection/>
    </xf>
    <xf numFmtId="0" fontId="5" fillId="3" borderId="0" xfId="18" applyFont="1" applyFill="1" applyBorder="1" applyAlignment="1">
      <alignment wrapText="1"/>
      <protection/>
    </xf>
    <xf numFmtId="0" fontId="20" fillId="0" borderId="2" xfId="0" applyFont="1" applyBorder="1" applyAlignment="1">
      <alignment horizontal="center" wrapText="1"/>
    </xf>
    <xf numFmtId="0" fontId="21" fillId="0" borderId="2" xfId="15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3" fillId="0" borderId="0" xfId="15" applyAlignment="1">
      <alignment/>
    </xf>
    <xf numFmtId="0" fontId="3" fillId="0" borderId="0" xfId="15" applyAlignment="1">
      <alignment/>
    </xf>
    <xf numFmtId="0" fontId="19" fillId="0" borderId="0" xfId="0" applyFont="1" applyBorder="1" applyAlignment="1">
      <alignment horizontal="center" wrapText="1"/>
    </xf>
    <xf numFmtId="0" fontId="5" fillId="0" borderId="67" xfId="0" applyFont="1" applyBorder="1" applyAlignment="1">
      <alignment horizontal="left" wrapText="1"/>
    </xf>
    <xf numFmtId="0" fontId="5" fillId="0" borderId="76" xfId="0" applyFont="1" applyBorder="1" applyAlignment="1">
      <alignment horizontal="left" wrapText="1"/>
    </xf>
    <xf numFmtId="0" fontId="3" fillId="0" borderId="2" xfId="15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_НПК_модель02.12.03" xfId="18"/>
    <cellStyle name="Обычный_Оборудование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5;&#1088;&#1086;&#1076;&#1072;&#1078;&#1080;!A1" /><Relationship Id="rId2" Type="http://schemas.openxmlformats.org/officeDocument/2006/relationships/hyperlink" Target="#'&#1054;&#1073;&#1098;&#1077;&#1084; &#1087;&#1088;-&#1074;&#1072;'!A1" /><Relationship Id="rId3" Type="http://schemas.openxmlformats.org/officeDocument/2006/relationships/hyperlink" Target="#&#1054;&#1073;&#1086;&#1088;&#1072;&#1095;&#1080;&#1074;&#1072;&#1077;&#1084;&#1086;&#1089;&#1090;&#1100;!A1" /><Relationship Id="rId4" Type="http://schemas.openxmlformats.org/officeDocument/2006/relationships/hyperlink" Target="#'&#1047;&#1072;&#1082;&#1091;&#1087;&#1082;&#1080; &#1089;&#1099;&#1088;&#1100;&#1103;'!A1" /><Relationship Id="rId5" Type="http://schemas.openxmlformats.org/officeDocument/2006/relationships/hyperlink" Target="#&#1041;&#1044;&#1056;!A1" /><Relationship Id="rId6" Type="http://schemas.openxmlformats.org/officeDocument/2006/relationships/hyperlink" Target="#'&#1040;&#1076;&#1084; &#1080; &#1050;&#1086;&#1084;'!A1" /><Relationship Id="rId7" Type="http://schemas.openxmlformats.org/officeDocument/2006/relationships/hyperlink" Target="#'&#1054;&#1073;&#1097;&#1077;&#1087;&#1088;&#1086;&#1080;&#1079;&#1074;&#1086;&#1076; &#1088;&#1072;&#1089;&#1093;&#1086;&#1076;&#1099;'!A1" /><Relationship Id="rId8" Type="http://schemas.openxmlformats.org/officeDocument/2006/relationships/hyperlink" Target="#'&#1044;&#1044;&#1057;-&#1050;&#1086;&#1089;&#1074;'!A1" /><Relationship Id="rId9" Type="http://schemas.openxmlformats.org/officeDocument/2006/relationships/hyperlink" Target="#&#1041;&#1072;&#1083;&#1072;&#1085;&#1089;!A1" /><Relationship Id="rId10" Type="http://schemas.openxmlformats.org/officeDocument/2006/relationships/hyperlink" Target="#&#1060;&#1080;&#1085;&#1044;!A1" /><Relationship Id="rId11" Type="http://schemas.openxmlformats.org/officeDocument/2006/relationships/hyperlink" Target="#&#1048;&#1085;&#1074;&#1077;&#1089;&#1090;&#1080;&#1094;&#1080;&#1080;!A1" /><Relationship Id="rId12" Type="http://schemas.openxmlformats.org/officeDocument/2006/relationships/hyperlink" Target="#'&#1056;&#1072;&#1089;&#1095;&#1077;&#1090; &#1079;&#1072;&#1088;&#1087;&#1083;&#1072;&#1090;&#1099;'!A1" /><Relationship Id="rId13" Type="http://schemas.openxmlformats.org/officeDocument/2006/relationships/hyperlink" Target="#'&#1058;&#1077;&#1093;&#1085;&#1086;&#1083;&#1086;&#1075;&#1080;&#1095;&#1077;&#1089;&#1082;&#1072;&#1103; &#1082;&#1072;&#1088;&#1090;&#1072; 1'!A1" /><Relationship Id="rId14" Type="http://schemas.openxmlformats.org/officeDocument/2006/relationships/hyperlink" Target="#'&#1058;&#1077;&#1093;&#1085;&#1086;&#1083;&#1086;&#1075;&#1080;&#1095;&#1077;&#1089;&#1082;&#1072;&#1103; &#1082;&#1072;&#1088;&#1090;&#1072; 2 (&#1074;&#1089;&#1087;&#1086;&#1084;)'!A1" /><Relationship Id="rId15" Type="http://schemas.openxmlformats.org/officeDocument/2006/relationships/hyperlink" Target="#'&#1055;&#1088;&#1086;&#1075;&#1088;&#1072;&#1084;&#1084;&#1072; &#1087;&#1088;-&#1074;&#1072;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0</xdr:rowOff>
    </xdr:from>
    <xdr:to>
      <xdr:col>2</xdr:col>
      <xdr:colOff>304800</xdr:colOff>
      <xdr:row>5</xdr:row>
      <xdr:rowOff>104775</xdr:rowOff>
    </xdr:to>
    <xdr:sp textlink="Продажи!C1">
      <xdr:nvSpPr>
        <xdr:cNvPr id="1" name="Rectangle 21">
          <a:hlinkClick r:id="rId1"/>
        </xdr:cNvPr>
        <xdr:cNvSpPr>
          <a:spLocks/>
        </xdr:cNvSpPr>
      </xdr:nvSpPr>
      <xdr:spPr>
        <a:xfrm>
          <a:off x="238125" y="485775"/>
          <a:ext cx="1438275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Продажи</a:t>
          </a:r>
        </a:p>
      </xdr:txBody>
    </xdr:sp>
    <xdr:clientData/>
  </xdr:twoCellAnchor>
  <xdr:twoCellAnchor>
    <xdr:from>
      <xdr:col>2</xdr:col>
      <xdr:colOff>304800</xdr:colOff>
      <xdr:row>4</xdr:row>
      <xdr:rowOff>57150</xdr:rowOff>
    </xdr:from>
    <xdr:to>
      <xdr:col>13</xdr:col>
      <xdr:colOff>276225</xdr:colOff>
      <xdr:row>4</xdr:row>
      <xdr:rowOff>57150</xdr:rowOff>
    </xdr:to>
    <xdr:sp>
      <xdr:nvSpPr>
        <xdr:cNvPr id="2" name="AutoShape 29"/>
        <xdr:cNvSpPr>
          <a:spLocks/>
        </xdr:cNvSpPr>
      </xdr:nvSpPr>
      <xdr:spPr>
        <a:xfrm>
          <a:off x="1676400" y="704850"/>
          <a:ext cx="7515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95250</xdr:rowOff>
    </xdr:from>
    <xdr:to>
      <xdr:col>9</xdr:col>
      <xdr:colOff>533400</xdr:colOff>
      <xdr:row>4</xdr:row>
      <xdr:rowOff>142875</xdr:rowOff>
    </xdr:to>
    <xdr:sp>
      <xdr:nvSpPr>
        <xdr:cNvPr id="3" name="Rectangle 31"/>
        <xdr:cNvSpPr>
          <a:spLocks/>
        </xdr:cNvSpPr>
      </xdr:nvSpPr>
      <xdr:spPr>
        <a:xfrm>
          <a:off x="2828925" y="581025"/>
          <a:ext cx="3876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Прямые материальные затраты на реализованную продукцию</a:t>
          </a:r>
        </a:p>
      </xdr:txBody>
    </xdr:sp>
    <xdr:clientData/>
  </xdr:twoCellAnchor>
  <xdr:twoCellAnchor>
    <xdr:from>
      <xdr:col>3</xdr:col>
      <xdr:colOff>95250</xdr:colOff>
      <xdr:row>8</xdr:row>
      <xdr:rowOff>142875</xdr:rowOff>
    </xdr:from>
    <xdr:to>
      <xdr:col>5</xdr:col>
      <xdr:colOff>161925</xdr:colOff>
      <xdr:row>11</xdr:row>
      <xdr:rowOff>85725</xdr:rowOff>
    </xdr:to>
    <xdr:sp>
      <xdr:nvSpPr>
        <xdr:cNvPr id="4" name="Rectangle 32">
          <a:hlinkClick r:id="rId2"/>
        </xdr:cNvPr>
        <xdr:cNvSpPr>
          <a:spLocks/>
        </xdr:cNvSpPr>
      </xdr:nvSpPr>
      <xdr:spPr>
        <a:xfrm>
          <a:off x="2152650" y="1438275"/>
          <a:ext cx="1438275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Объем производства</a:t>
          </a:r>
        </a:p>
      </xdr:txBody>
    </xdr:sp>
    <xdr:clientData/>
  </xdr:twoCellAnchor>
  <xdr:twoCellAnchor>
    <xdr:from>
      <xdr:col>5</xdr:col>
      <xdr:colOff>285750</xdr:colOff>
      <xdr:row>8</xdr:row>
      <xdr:rowOff>133350</xdr:rowOff>
    </xdr:from>
    <xdr:to>
      <xdr:col>6</xdr:col>
      <xdr:colOff>571500</xdr:colOff>
      <xdr:row>11</xdr:row>
      <xdr:rowOff>76200</xdr:rowOff>
    </xdr:to>
    <xdr:sp>
      <xdr:nvSpPr>
        <xdr:cNvPr id="5" name="Rectangle 33">
          <a:hlinkClick r:id="rId3"/>
        </xdr:cNvPr>
        <xdr:cNvSpPr>
          <a:spLocks/>
        </xdr:cNvSpPr>
      </xdr:nvSpPr>
      <xdr:spPr>
        <a:xfrm>
          <a:off x="3714750" y="1428750"/>
          <a:ext cx="971550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Оборачива-емость</a:t>
          </a:r>
        </a:p>
      </xdr:txBody>
    </xdr:sp>
    <xdr:clientData/>
  </xdr:twoCellAnchor>
  <xdr:twoCellAnchor>
    <xdr:from>
      <xdr:col>8</xdr:col>
      <xdr:colOff>114300</xdr:colOff>
      <xdr:row>9</xdr:row>
      <xdr:rowOff>0</xdr:rowOff>
    </xdr:from>
    <xdr:to>
      <xdr:col>9</xdr:col>
      <xdr:colOff>647700</xdr:colOff>
      <xdr:row>11</xdr:row>
      <xdr:rowOff>95250</xdr:rowOff>
    </xdr:to>
    <xdr:sp>
      <xdr:nvSpPr>
        <xdr:cNvPr id="6" name="Rectangle 34">
          <a:hlinkClick r:id="rId4"/>
        </xdr:cNvPr>
        <xdr:cNvSpPr>
          <a:spLocks/>
        </xdr:cNvSpPr>
      </xdr:nvSpPr>
      <xdr:spPr>
        <a:xfrm>
          <a:off x="5600700" y="1457325"/>
          <a:ext cx="12192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Закупки сырья</a:t>
          </a:r>
        </a:p>
      </xdr:txBody>
    </xdr:sp>
    <xdr:clientData/>
  </xdr:twoCellAnchor>
  <xdr:twoCellAnchor>
    <xdr:from>
      <xdr:col>1</xdr:col>
      <xdr:colOff>266700</xdr:colOff>
      <xdr:row>5</xdr:row>
      <xdr:rowOff>104775</xdr:rowOff>
    </xdr:from>
    <xdr:to>
      <xdr:col>3</xdr:col>
      <xdr:colOff>95250</xdr:colOff>
      <xdr:row>10</xdr:row>
      <xdr:rowOff>38100</xdr:rowOff>
    </xdr:to>
    <xdr:sp>
      <xdr:nvSpPr>
        <xdr:cNvPr id="7" name="AutoShape 37"/>
        <xdr:cNvSpPr>
          <a:spLocks/>
        </xdr:cNvSpPr>
      </xdr:nvSpPr>
      <xdr:spPr>
        <a:xfrm rot="16200000" flipH="1">
          <a:off x="952500" y="914400"/>
          <a:ext cx="1200150" cy="742950"/>
        </a:xfrm>
        <a:prstGeom prst="bentConnector2">
          <a:avLst>
            <a:gd name="adj1" fmla="val -164101"/>
            <a:gd name="adj2" fmla="val 35712"/>
            <a:gd name="adj3" fmla="val -16410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9525</xdr:rowOff>
    </xdr:from>
    <xdr:to>
      <xdr:col>2</xdr:col>
      <xdr:colOff>619125</xdr:colOff>
      <xdr:row>10</xdr:row>
      <xdr:rowOff>28575</xdr:rowOff>
    </xdr:to>
    <xdr:sp>
      <xdr:nvSpPr>
        <xdr:cNvPr id="8" name="Rectangle 38"/>
        <xdr:cNvSpPr>
          <a:spLocks/>
        </xdr:cNvSpPr>
      </xdr:nvSpPr>
      <xdr:spPr>
        <a:xfrm>
          <a:off x="990600" y="1466850"/>
          <a:ext cx="1000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Объем продаж</a:t>
          </a:r>
        </a:p>
      </xdr:txBody>
    </xdr:sp>
    <xdr:clientData/>
  </xdr:twoCellAnchor>
  <xdr:twoCellAnchor>
    <xdr:from>
      <xdr:col>4</xdr:col>
      <xdr:colOff>133350</xdr:colOff>
      <xdr:row>8</xdr:row>
      <xdr:rowOff>133350</xdr:rowOff>
    </xdr:from>
    <xdr:to>
      <xdr:col>6</xdr:col>
      <xdr:colOff>85725</xdr:colOff>
      <xdr:row>8</xdr:row>
      <xdr:rowOff>142875</xdr:rowOff>
    </xdr:to>
    <xdr:sp>
      <xdr:nvSpPr>
        <xdr:cNvPr id="9" name="AutoShape 39"/>
        <xdr:cNvSpPr>
          <a:spLocks/>
        </xdr:cNvSpPr>
      </xdr:nvSpPr>
      <xdr:spPr>
        <a:xfrm rot="16200000">
          <a:off x="2876550" y="1428750"/>
          <a:ext cx="1323975" cy="9525"/>
        </a:xfrm>
        <a:prstGeom prst="bentConnector3">
          <a:avLst>
            <a:gd name="adj1" fmla="val 2500000"/>
            <a:gd name="adj2" fmla="val -121773"/>
            <a:gd name="adj3" fmla="val -268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38100</xdr:rowOff>
    </xdr:from>
    <xdr:to>
      <xdr:col>14</xdr:col>
      <xdr:colOff>161925</xdr:colOff>
      <xdr:row>3</xdr:row>
      <xdr:rowOff>0</xdr:rowOff>
    </xdr:to>
    <xdr:sp>
      <xdr:nvSpPr>
        <xdr:cNvPr id="10" name="AutoShape 40"/>
        <xdr:cNvSpPr>
          <a:spLocks/>
        </xdr:cNvSpPr>
      </xdr:nvSpPr>
      <xdr:spPr>
        <a:xfrm rot="16200000">
          <a:off x="952500" y="361950"/>
          <a:ext cx="8810625" cy="123825"/>
        </a:xfrm>
        <a:prstGeom prst="bentConnector3">
          <a:avLst>
            <a:gd name="adj1" fmla="val 284615"/>
            <a:gd name="adj2" fmla="val -6203"/>
            <a:gd name="adj3" fmla="val -68461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57150</xdr:rowOff>
    </xdr:from>
    <xdr:to>
      <xdr:col>10</xdr:col>
      <xdr:colOff>342900</xdr:colOff>
      <xdr:row>1</xdr:row>
      <xdr:rowOff>104775</xdr:rowOff>
    </xdr:to>
    <xdr:sp>
      <xdr:nvSpPr>
        <xdr:cNvPr id="11" name="Rectangle 41"/>
        <xdr:cNvSpPr>
          <a:spLocks/>
        </xdr:cNvSpPr>
      </xdr:nvSpPr>
      <xdr:spPr>
        <a:xfrm>
          <a:off x="2819400" y="57150"/>
          <a:ext cx="438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Вклад на покрытие прямых материальных затрат по видам продукции</a:t>
          </a:r>
        </a:p>
      </xdr:txBody>
    </xdr:sp>
    <xdr:clientData/>
  </xdr:twoCellAnchor>
  <xdr:twoCellAnchor>
    <xdr:from>
      <xdr:col>4</xdr:col>
      <xdr:colOff>85725</xdr:colOff>
      <xdr:row>5</xdr:row>
      <xdr:rowOff>142875</xdr:rowOff>
    </xdr:from>
    <xdr:to>
      <xdr:col>6</xdr:col>
      <xdr:colOff>104775</xdr:colOff>
      <xdr:row>7</xdr:row>
      <xdr:rowOff>28575</xdr:rowOff>
    </xdr:to>
    <xdr:sp>
      <xdr:nvSpPr>
        <xdr:cNvPr id="12" name="Rectangle 42"/>
        <xdr:cNvSpPr>
          <a:spLocks/>
        </xdr:cNvSpPr>
      </xdr:nvSpPr>
      <xdr:spPr>
        <a:xfrm>
          <a:off x="2828925" y="952500"/>
          <a:ext cx="1390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Объем производства</a:t>
          </a:r>
        </a:p>
      </xdr:txBody>
    </xdr:sp>
    <xdr:clientData/>
  </xdr:twoCellAnchor>
  <xdr:twoCellAnchor>
    <xdr:from>
      <xdr:col>6</xdr:col>
      <xdr:colOff>571500</xdr:colOff>
      <xdr:row>9</xdr:row>
      <xdr:rowOff>76200</xdr:rowOff>
    </xdr:from>
    <xdr:to>
      <xdr:col>8</xdr:col>
      <xdr:colOff>133350</xdr:colOff>
      <xdr:row>9</xdr:row>
      <xdr:rowOff>76200</xdr:rowOff>
    </xdr:to>
    <xdr:sp>
      <xdr:nvSpPr>
        <xdr:cNvPr id="13" name="Line 45"/>
        <xdr:cNvSpPr>
          <a:spLocks/>
        </xdr:cNvSpPr>
      </xdr:nvSpPr>
      <xdr:spPr>
        <a:xfrm>
          <a:off x="4686300" y="1533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114300</xdr:rowOff>
    </xdr:from>
    <xdr:to>
      <xdr:col>8</xdr:col>
      <xdr:colOff>133350</xdr:colOff>
      <xdr:row>10</xdr:row>
      <xdr:rowOff>114300</xdr:rowOff>
    </xdr:to>
    <xdr:sp>
      <xdr:nvSpPr>
        <xdr:cNvPr id="14" name="Line 46"/>
        <xdr:cNvSpPr>
          <a:spLocks/>
        </xdr:cNvSpPr>
      </xdr:nvSpPr>
      <xdr:spPr>
        <a:xfrm flipH="1">
          <a:off x="4676775" y="1733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19050</xdr:rowOff>
    </xdr:from>
    <xdr:to>
      <xdr:col>7</xdr:col>
      <xdr:colOff>666750</xdr:colOff>
      <xdr:row>9</xdr:row>
      <xdr:rowOff>66675</xdr:rowOff>
    </xdr:to>
    <xdr:sp>
      <xdr:nvSpPr>
        <xdr:cNvPr id="15" name="Rectangle 47"/>
        <xdr:cNvSpPr>
          <a:spLocks/>
        </xdr:cNvSpPr>
      </xdr:nvSpPr>
      <xdr:spPr>
        <a:xfrm>
          <a:off x="4810125" y="13144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Закупки</a:t>
          </a:r>
        </a:p>
      </xdr:txBody>
    </xdr:sp>
    <xdr:clientData/>
  </xdr:twoCellAnchor>
  <xdr:twoCellAnchor>
    <xdr:from>
      <xdr:col>7</xdr:col>
      <xdr:colOff>66675</xdr:colOff>
      <xdr:row>10</xdr:row>
      <xdr:rowOff>133350</xdr:rowOff>
    </xdr:from>
    <xdr:to>
      <xdr:col>8</xdr:col>
      <xdr:colOff>28575</xdr:colOff>
      <xdr:row>12</xdr:row>
      <xdr:rowOff>133350</xdr:rowOff>
    </xdr:to>
    <xdr:sp>
      <xdr:nvSpPr>
        <xdr:cNvPr id="16" name="Rectangle 48"/>
        <xdr:cNvSpPr>
          <a:spLocks/>
        </xdr:cNvSpPr>
      </xdr:nvSpPr>
      <xdr:spPr>
        <a:xfrm>
          <a:off x="4867275" y="1752600"/>
          <a:ext cx="64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Остатки сырья</a:t>
          </a:r>
        </a:p>
      </xdr:txBody>
    </xdr:sp>
    <xdr:clientData/>
  </xdr:twoCellAnchor>
  <xdr:twoCellAnchor>
    <xdr:from>
      <xdr:col>13</xdr:col>
      <xdr:colOff>276225</xdr:colOff>
      <xdr:row>2</xdr:row>
      <xdr:rowOff>38100</xdr:rowOff>
    </xdr:from>
    <xdr:to>
      <xdr:col>15</xdr:col>
      <xdr:colOff>47625</xdr:colOff>
      <xdr:row>6</xdr:row>
      <xdr:rowOff>66675</xdr:rowOff>
    </xdr:to>
    <xdr:sp>
      <xdr:nvSpPr>
        <xdr:cNvPr id="17" name="Rectangle 50">
          <a:hlinkClick r:id="rId5"/>
        </xdr:cNvPr>
        <xdr:cNvSpPr>
          <a:spLocks/>
        </xdr:cNvSpPr>
      </xdr:nvSpPr>
      <xdr:spPr>
        <a:xfrm>
          <a:off x="9191625" y="361950"/>
          <a:ext cx="114300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Бюджет доходов и расходов</a:t>
          </a:r>
        </a:p>
      </xdr:txBody>
    </xdr:sp>
    <xdr:clientData/>
  </xdr:twoCellAnchor>
  <xdr:twoCellAnchor>
    <xdr:from>
      <xdr:col>9</xdr:col>
      <xdr:colOff>95250</xdr:colOff>
      <xdr:row>5</xdr:row>
      <xdr:rowOff>66675</xdr:rowOff>
    </xdr:from>
    <xdr:to>
      <xdr:col>11</xdr:col>
      <xdr:colOff>114300</xdr:colOff>
      <xdr:row>8</xdr:row>
      <xdr:rowOff>0</xdr:rowOff>
    </xdr:to>
    <xdr:sp>
      <xdr:nvSpPr>
        <xdr:cNvPr id="18" name="Rectangle 51">
          <a:hlinkClick r:id="rId6"/>
        </xdr:cNvPr>
        <xdr:cNvSpPr>
          <a:spLocks/>
        </xdr:cNvSpPr>
      </xdr:nvSpPr>
      <xdr:spPr>
        <a:xfrm>
          <a:off x="6267450" y="876300"/>
          <a:ext cx="139065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Административные и оммерческие расходы</a:t>
          </a:r>
        </a:p>
      </xdr:txBody>
    </xdr:sp>
    <xdr:clientData/>
  </xdr:twoCellAnchor>
  <xdr:twoCellAnchor>
    <xdr:from>
      <xdr:col>10</xdr:col>
      <xdr:colOff>285750</xdr:colOff>
      <xdr:row>9</xdr:row>
      <xdr:rowOff>9525</xdr:rowOff>
    </xdr:from>
    <xdr:to>
      <xdr:col>12</xdr:col>
      <xdr:colOff>133350</xdr:colOff>
      <xdr:row>11</xdr:row>
      <xdr:rowOff>104775</xdr:rowOff>
    </xdr:to>
    <xdr:sp>
      <xdr:nvSpPr>
        <xdr:cNvPr id="19" name="Rectangle 52">
          <a:hlinkClick r:id="rId7"/>
        </xdr:cNvPr>
        <xdr:cNvSpPr>
          <a:spLocks/>
        </xdr:cNvSpPr>
      </xdr:nvSpPr>
      <xdr:spPr>
        <a:xfrm>
          <a:off x="7143750" y="1466850"/>
          <a:ext cx="12192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Общепроизводственные расходы</a:t>
          </a:r>
        </a:p>
      </xdr:txBody>
    </xdr:sp>
    <xdr:clientData/>
  </xdr:twoCellAnchor>
  <xdr:twoCellAnchor>
    <xdr:from>
      <xdr:col>11</xdr:col>
      <xdr:colOff>114300</xdr:colOff>
      <xdr:row>6</xdr:row>
      <xdr:rowOff>66675</xdr:rowOff>
    </xdr:from>
    <xdr:to>
      <xdr:col>14</xdr:col>
      <xdr:colOff>161925</xdr:colOff>
      <xdr:row>6</xdr:row>
      <xdr:rowOff>114300</xdr:rowOff>
    </xdr:to>
    <xdr:sp>
      <xdr:nvSpPr>
        <xdr:cNvPr id="20" name="AutoShape 53"/>
        <xdr:cNvSpPr>
          <a:spLocks/>
        </xdr:cNvSpPr>
      </xdr:nvSpPr>
      <xdr:spPr>
        <a:xfrm flipV="1">
          <a:off x="7658100" y="1038225"/>
          <a:ext cx="2105025" cy="47625"/>
        </a:xfrm>
        <a:prstGeom prst="bentConnector2">
          <a:avLst>
            <a:gd name="adj1" fmla="val -414796"/>
            <a:gd name="adj2" fmla="val 2230000"/>
            <a:gd name="adj3" fmla="val -4147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219075</xdr:colOff>
      <xdr:row>6</xdr:row>
      <xdr:rowOff>66675</xdr:rowOff>
    </xdr:from>
    <xdr:to>
      <xdr:col>14</xdr:col>
      <xdr:colOff>161925</xdr:colOff>
      <xdr:row>9</xdr:row>
      <xdr:rowOff>9525</xdr:rowOff>
    </xdr:to>
    <xdr:sp>
      <xdr:nvSpPr>
        <xdr:cNvPr id="21" name="AutoShape 54"/>
        <xdr:cNvSpPr>
          <a:spLocks/>
        </xdr:cNvSpPr>
      </xdr:nvSpPr>
      <xdr:spPr>
        <a:xfrm rot="16200000">
          <a:off x="7762875" y="1038225"/>
          <a:ext cx="2000250" cy="428625"/>
        </a:xfrm>
        <a:prstGeom prst="bentConnector3">
          <a:avLst>
            <a:gd name="adj1" fmla="val 48888"/>
            <a:gd name="adj2" fmla="val -82351"/>
            <a:gd name="adj3" fmla="val -160888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590550</xdr:colOff>
      <xdr:row>13</xdr:row>
      <xdr:rowOff>114300</xdr:rowOff>
    </xdr:from>
    <xdr:to>
      <xdr:col>14</xdr:col>
      <xdr:colOff>352425</xdr:colOff>
      <xdr:row>17</xdr:row>
      <xdr:rowOff>104775</xdr:rowOff>
    </xdr:to>
    <xdr:sp>
      <xdr:nvSpPr>
        <xdr:cNvPr id="22" name="Rectangle 55">
          <a:hlinkClick r:id="rId8"/>
        </xdr:cNvPr>
        <xdr:cNvSpPr>
          <a:spLocks/>
        </xdr:cNvSpPr>
      </xdr:nvSpPr>
      <xdr:spPr>
        <a:xfrm>
          <a:off x="8820150" y="2219325"/>
          <a:ext cx="1133475" cy="638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Бюджет движения денежных средств</a:t>
          </a:r>
        </a:p>
      </xdr:txBody>
    </xdr:sp>
    <xdr:clientData/>
  </xdr:twoCellAnchor>
  <xdr:twoCellAnchor>
    <xdr:from>
      <xdr:col>12</xdr:col>
      <xdr:colOff>676275</xdr:colOff>
      <xdr:row>24</xdr:row>
      <xdr:rowOff>133350</xdr:rowOff>
    </xdr:from>
    <xdr:to>
      <xdr:col>14</xdr:col>
      <xdr:colOff>438150</xdr:colOff>
      <xdr:row>28</xdr:row>
      <xdr:rowOff>123825</xdr:rowOff>
    </xdr:to>
    <xdr:sp>
      <xdr:nvSpPr>
        <xdr:cNvPr id="23" name="Rectangle 56">
          <a:hlinkClick r:id="rId9"/>
        </xdr:cNvPr>
        <xdr:cNvSpPr>
          <a:spLocks/>
        </xdr:cNvSpPr>
      </xdr:nvSpPr>
      <xdr:spPr>
        <a:xfrm>
          <a:off x="8905875" y="4019550"/>
          <a:ext cx="1133475" cy="638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Прогнозный баланс</a:t>
          </a:r>
        </a:p>
      </xdr:txBody>
    </xdr:sp>
    <xdr:clientData/>
  </xdr:twoCellAnchor>
  <xdr:twoCellAnchor>
    <xdr:from>
      <xdr:col>11</xdr:col>
      <xdr:colOff>219075</xdr:colOff>
      <xdr:row>11</xdr:row>
      <xdr:rowOff>104775</xdr:rowOff>
    </xdr:from>
    <xdr:to>
      <xdr:col>13</xdr:col>
      <xdr:colOff>561975</xdr:colOff>
      <xdr:row>24</xdr:row>
      <xdr:rowOff>133350</xdr:rowOff>
    </xdr:to>
    <xdr:sp>
      <xdr:nvSpPr>
        <xdr:cNvPr id="24" name="AutoShape 57"/>
        <xdr:cNvSpPr>
          <a:spLocks/>
        </xdr:cNvSpPr>
      </xdr:nvSpPr>
      <xdr:spPr>
        <a:xfrm rot="16200000" flipH="1">
          <a:off x="7762875" y="1885950"/>
          <a:ext cx="1714500" cy="2133600"/>
        </a:xfrm>
        <a:prstGeom prst="bentConnector3">
          <a:avLst>
            <a:gd name="adj1" fmla="val 123750"/>
            <a:gd name="adj2" fmla="val -3232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219075</xdr:colOff>
      <xdr:row>11</xdr:row>
      <xdr:rowOff>104775</xdr:rowOff>
    </xdr:from>
    <xdr:to>
      <xdr:col>12</xdr:col>
      <xdr:colOff>590550</xdr:colOff>
      <xdr:row>15</xdr:row>
      <xdr:rowOff>114300</xdr:rowOff>
    </xdr:to>
    <xdr:sp>
      <xdr:nvSpPr>
        <xdr:cNvPr id="25" name="AutoShape 58"/>
        <xdr:cNvSpPr>
          <a:spLocks/>
        </xdr:cNvSpPr>
      </xdr:nvSpPr>
      <xdr:spPr>
        <a:xfrm rot="16200000" flipH="1">
          <a:off x="7762875" y="1885950"/>
          <a:ext cx="1057275" cy="657225"/>
        </a:xfrm>
        <a:prstGeom prst="bentConnector2">
          <a:avLst>
            <a:gd name="adj1" fmla="val -1099273"/>
            <a:gd name="adj2" fmla="val 150000"/>
            <a:gd name="adj3" fmla="val -1099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476250</xdr:colOff>
      <xdr:row>12</xdr:row>
      <xdr:rowOff>152400</xdr:rowOff>
    </xdr:from>
    <xdr:to>
      <xdr:col>11</xdr:col>
      <xdr:colOff>628650</xdr:colOff>
      <xdr:row>14</xdr:row>
      <xdr:rowOff>9525</xdr:rowOff>
    </xdr:to>
    <xdr:sp>
      <xdr:nvSpPr>
        <xdr:cNvPr id="26" name="Rectangle 59"/>
        <xdr:cNvSpPr>
          <a:spLocks/>
        </xdr:cNvSpPr>
      </xdr:nvSpPr>
      <xdr:spPr>
        <a:xfrm>
          <a:off x="7334250" y="209550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Амортизация</a:t>
          </a:r>
        </a:p>
      </xdr:txBody>
    </xdr:sp>
    <xdr:clientData/>
  </xdr:twoCellAnchor>
  <xdr:twoCellAnchor>
    <xdr:from>
      <xdr:col>14</xdr:col>
      <xdr:colOff>352425</xdr:colOff>
      <xdr:row>15</xdr:row>
      <xdr:rowOff>114300</xdr:rowOff>
    </xdr:from>
    <xdr:to>
      <xdr:col>14</xdr:col>
      <xdr:colOff>438150</xdr:colOff>
      <xdr:row>26</xdr:row>
      <xdr:rowOff>133350</xdr:rowOff>
    </xdr:to>
    <xdr:sp>
      <xdr:nvSpPr>
        <xdr:cNvPr id="27" name="AutoShape 60"/>
        <xdr:cNvSpPr>
          <a:spLocks/>
        </xdr:cNvSpPr>
      </xdr:nvSpPr>
      <xdr:spPr>
        <a:xfrm flipH="1" flipV="1">
          <a:off x="9953625" y="2543175"/>
          <a:ext cx="85725" cy="1800225"/>
        </a:xfrm>
        <a:prstGeom prst="bentConnector3">
          <a:avLst>
            <a:gd name="adj1" fmla="val -300000"/>
            <a:gd name="adj2" fmla="val 241268"/>
            <a:gd name="adj3" fmla="val 11712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76200</xdr:colOff>
      <xdr:row>18</xdr:row>
      <xdr:rowOff>142875</xdr:rowOff>
    </xdr:from>
    <xdr:to>
      <xdr:col>15</xdr:col>
      <xdr:colOff>533400</xdr:colOff>
      <xdr:row>20</xdr:row>
      <xdr:rowOff>142875</xdr:rowOff>
    </xdr:to>
    <xdr:sp>
      <xdr:nvSpPr>
        <xdr:cNvPr id="28" name="Rectangle 66"/>
        <xdr:cNvSpPr>
          <a:spLocks/>
        </xdr:cNvSpPr>
      </xdr:nvSpPr>
      <xdr:spPr>
        <a:xfrm>
          <a:off x="9677400" y="3057525"/>
          <a:ext cx="1143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изменение запасов, ДЗ, КЗ, инвестиций</a:t>
          </a:r>
        </a:p>
      </xdr:txBody>
    </xdr:sp>
    <xdr:clientData/>
  </xdr:twoCellAnchor>
  <xdr:twoCellAnchor>
    <xdr:from>
      <xdr:col>14</xdr:col>
      <xdr:colOff>438150</xdr:colOff>
      <xdr:row>4</xdr:row>
      <xdr:rowOff>57150</xdr:rowOff>
    </xdr:from>
    <xdr:to>
      <xdr:col>15</xdr:col>
      <xdr:colOff>47625</xdr:colOff>
      <xdr:row>26</xdr:row>
      <xdr:rowOff>133350</xdr:rowOff>
    </xdr:to>
    <xdr:sp>
      <xdr:nvSpPr>
        <xdr:cNvPr id="29" name="AutoShape 68"/>
        <xdr:cNvSpPr>
          <a:spLocks/>
        </xdr:cNvSpPr>
      </xdr:nvSpPr>
      <xdr:spPr>
        <a:xfrm flipH="1">
          <a:off x="10039350" y="704850"/>
          <a:ext cx="295275" cy="3638550"/>
        </a:xfrm>
        <a:prstGeom prst="bentConnector3">
          <a:avLst>
            <a:gd name="adj1" fmla="val -88888"/>
            <a:gd name="adj2" fmla="val -19370"/>
            <a:gd name="adj3" fmla="val 357037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476250</xdr:colOff>
      <xdr:row>4</xdr:row>
      <xdr:rowOff>57150</xdr:rowOff>
    </xdr:from>
    <xdr:to>
      <xdr:col>15</xdr:col>
      <xdr:colOff>47625</xdr:colOff>
      <xdr:row>13</xdr:row>
      <xdr:rowOff>114300</xdr:rowOff>
    </xdr:to>
    <xdr:sp>
      <xdr:nvSpPr>
        <xdr:cNvPr id="30" name="AutoShape 69"/>
        <xdr:cNvSpPr>
          <a:spLocks/>
        </xdr:cNvSpPr>
      </xdr:nvSpPr>
      <xdr:spPr>
        <a:xfrm flipH="1">
          <a:off x="9391650" y="704850"/>
          <a:ext cx="942975" cy="1514475"/>
        </a:xfrm>
        <a:prstGeom prst="bentConnector4">
          <a:avLst>
            <a:gd name="adj1" fmla="val -77273"/>
            <a:gd name="adj2" fmla="val 11004"/>
            <a:gd name="adj3" fmla="val 104545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676275</xdr:colOff>
      <xdr:row>6</xdr:row>
      <xdr:rowOff>152400</xdr:rowOff>
    </xdr:from>
    <xdr:to>
      <xdr:col>15</xdr:col>
      <xdr:colOff>628650</xdr:colOff>
      <xdr:row>8</xdr:row>
      <xdr:rowOff>0</xdr:rowOff>
    </xdr:to>
    <xdr:sp>
      <xdr:nvSpPr>
        <xdr:cNvPr id="31" name="Rectangle 70"/>
        <xdr:cNvSpPr>
          <a:spLocks/>
        </xdr:cNvSpPr>
      </xdr:nvSpPr>
      <xdr:spPr>
        <a:xfrm>
          <a:off x="10277475" y="1123950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Прибыль</a:t>
          </a:r>
        </a:p>
      </xdr:txBody>
    </xdr:sp>
    <xdr:clientData/>
  </xdr:twoCellAnchor>
  <xdr:twoCellAnchor>
    <xdr:from>
      <xdr:col>12</xdr:col>
      <xdr:colOff>647700</xdr:colOff>
      <xdr:row>34</xdr:row>
      <xdr:rowOff>47625</xdr:rowOff>
    </xdr:from>
    <xdr:to>
      <xdr:col>14</xdr:col>
      <xdr:colOff>485775</xdr:colOff>
      <xdr:row>36</xdr:row>
      <xdr:rowOff>142875</xdr:rowOff>
    </xdr:to>
    <xdr:sp>
      <xdr:nvSpPr>
        <xdr:cNvPr id="32" name="Rectangle 71">
          <a:hlinkClick r:id="rId10"/>
        </xdr:cNvPr>
        <xdr:cNvSpPr>
          <a:spLocks/>
        </xdr:cNvSpPr>
      </xdr:nvSpPr>
      <xdr:spPr>
        <a:xfrm>
          <a:off x="8877300" y="5553075"/>
          <a:ext cx="1209675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Финансовая деятельность</a:t>
          </a:r>
        </a:p>
      </xdr:txBody>
    </xdr:sp>
    <xdr:clientData/>
  </xdr:twoCellAnchor>
  <xdr:twoCellAnchor>
    <xdr:from>
      <xdr:col>10</xdr:col>
      <xdr:colOff>457200</xdr:colOff>
      <xdr:row>34</xdr:row>
      <xdr:rowOff>47625</xdr:rowOff>
    </xdr:from>
    <xdr:to>
      <xdr:col>12</xdr:col>
      <xdr:colOff>304800</xdr:colOff>
      <xdr:row>36</xdr:row>
      <xdr:rowOff>142875</xdr:rowOff>
    </xdr:to>
    <xdr:sp>
      <xdr:nvSpPr>
        <xdr:cNvPr id="33" name="Rectangle 72">
          <a:hlinkClick r:id="rId11"/>
        </xdr:cNvPr>
        <xdr:cNvSpPr>
          <a:spLocks/>
        </xdr:cNvSpPr>
      </xdr:nvSpPr>
      <xdr:spPr>
        <a:xfrm>
          <a:off x="7315200" y="5553075"/>
          <a:ext cx="12192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Бюджет инвестиций</a:t>
          </a:r>
        </a:p>
      </xdr:txBody>
    </xdr:sp>
    <xdr:clientData/>
  </xdr:twoCellAnchor>
  <xdr:twoCellAnchor>
    <xdr:from>
      <xdr:col>11</xdr:col>
      <xdr:colOff>390525</xdr:colOff>
      <xdr:row>26</xdr:row>
      <xdr:rowOff>133350</xdr:rowOff>
    </xdr:from>
    <xdr:to>
      <xdr:col>12</xdr:col>
      <xdr:colOff>676275</xdr:colOff>
      <xdr:row>34</xdr:row>
      <xdr:rowOff>47625</xdr:rowOff>
    </xdr:to>
    <xdr:sp>
      <xdr:nvSpPr>
        <xdr:cNvPr id="34" name="AutoShape 73"/>
        <xdr:cNvSpPr>
          <a:spLocks/>
        </xdr:cNvSpPr>
      </xdr:nvSpPr>
      <xdr:spPr>
        <a:xfrm rot="16200000">
          <a:off x="7934325" y="4343400"/>
          <a:ext cx="971550" cy="1209675"/>
        </a:xfrm>
        <a:prstGeom prst="bentConnector2">
          <a:avLst>
            <a:gd name="adj1" fmla="val -632675"/>
            <a:gd name="adj2" fmla="val -690657"/>
            <a:gd name="adj3" fmla="val -6326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657225</xdr:colOff>
      <xdr:row>29</xdr:row>
      <xdr:rowOff>123825</xdr:rowOff>
    </xdr:from>
    <xdr:to>
      <xdr:col>12</xdr:col>
      <xdr:colOff>76200</xdr:colOff>
      <xdr:row>30</xdr:row>
      <xdr:rowOff>114300</xdr:rowOff>
    </xdr:to>
    <xdr:sp>
      <xdr:nvSpPr>
        <xdr:cNvPr id="35" name="Rectangle 74"/>
        <xdr:cNvSpPr>
          <a:spLocks/>
        </xdr:cNvSpPr>
      </xdr:nvSpPr>
      <xdr:spPr>
        <a:xfrm>
          <a:off x="7515225" y="4819650"/>
          <a:ext cx="790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Инвестиции</a:t>
          </a:r>
        </a:p>
      </xdr:txBody>
    </xdr:sp>
    <xdr:clientData/>
  </xdr:twoCellAnchor>
  <xdr:twoCellAnchor>
    <xdr:from>
      <xdr:col>13</xdr:col>
      <xdr:colOff>561975</xdr:colOff>
      <xdr:row>28</xdr:row>
      <xdr:rowOff>104775</xdr:rowOff>
    </xdr:from>
    <xdr:to>
      <xdr:col>13</xdr:col>
      <xdr:colOff>571500</xdr:colOff>
      <xdr:row>34</xdr:row>
      <xdr:rowOff>47625</xdr:rowOff>
    </xdr:to>
    <xdr:sp>
      <xdr:nvSpPr>
        <xdr:cNvPr id="36" name="AutoShape 75"/>
        <xdr:cNvSpPr>
          <a:spLocks/>
        </xdr:cNvSpPr>
      </xdr:nvSpPr>
      <xdr:spPr>
        <a:xfrm flipH="1" flipV="1">
          <a:off x="9477375" y="4638675"/>
          <a:ext cx="9525" cy="914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257175</xdr:colOff>
      <xdr:row>30</xdr:row>
      <xdr:rowOff>66675</xdr:rowOff>
    </xdr:from>
    <xdr:to>
      <xdr:col>14</xdr:col>
      <xdr:colOff>200025</xdr:colOff>
      <xdr:row>32</xdr:row>
      <xdr:rowOff>57150</xdr:rowOff>
    </xdr:to>
    <xdr:sp>
      <xdr:nvSpPr>
        <xdr:cNvPr id="37" name="Rectangle 76"/>
        <xdr:cNvSpPr>
          <a:spLocks/>
        </xdr:cNvSpPr>
      </xdr:nvSpPr>
      <xdr:spPr>
        <a:xfrm>
          <a:off x="9172575" y="4924425"/>
          <a:ext cx="628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Кредиты и проценты</a:t>
          </a:r>
        </a:p>
      </xdr:txBody>
    </xdr:sp>
    <xdr:clientData/>
  </xdr:twoCellAnchor>
  <xdr:twoCellAnchor>
    <xdr:from>
      <xdr:col>7</xdr:col>
      <xdr:colOff>600075</xdr:colOff>
      <xdr:row>35</xdr:row>
      <xdr:rowOff>123825</xdr:rowOff>
    </xdr:from>
    <xdr:to>
      <xdr:col>9</xdr:col>
      <xdr:colOff>438150</xdr:colOff>
      <xdr:row>38</xdr:row>
      <xdr:rowOff>57150</xdr:rowOff>
    </xdr:to>
    <xdr:sp>
      <xdr:nvSpPr>
        <xdr:cNvPr id="38" name="Rectangle 77">
          <a:hlinkClick r:id="rId12"/>
        </xdr:cNvPr>
        <xdr:cNvSpPr>
          <a:spLocks/>
        </xdr:cNvSpPr>
      </xdr:nvSpPr>
      <xdr:spPr>
        <a:xfrm>
          <a:off x="5400675" y="5791200"/>
          <a:ext cx="1209675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Расчет 
заработной платы</a:t>
          </a:r>
        </a:p>
      </xdr:txBody>
    </xdr:sp>
    <xdr:clientData/>
  </xdr:twoCellAnchor>
  <xdr:twoCellAnchor>
    <xdr:from>
      <xdr:col>8</xdr:col>
      <xdr:colOff>523875</xdr:colOff>
      <xdr:row>12</xdr:row>
      <xdr:rowOff>104775</xdr:rowOff>
    </xdr:from>
    <xdr:to>
      <xdr:col>9</xdr:col>
      <xdr:colOff>428625</xdr:colOff>
      <xdr:row>35</xdr:row>
      <xdr:rowOff>123825</xdr:rowOff>
    </xdr:to>
    <xdr:sp>
      <xdr:nvSpPr>
        <xdr:cNvPr id="39" name="AutoShape 79"/>
        <xdr:cNvSpPr>
          <a:spLocks/>
        </xdr:cNvSpPr>
      </xdr:nvSpPr>
      <xdr:spPr>
        <a:xfrm rot="16200000">
          <a:off x="6010275" y="2047875"/>
          <a:ext cx="590550" cy="3743325"/>
        </a:xfrm>
        <a:prstGeom prst="bentConnector3">
          <a:avLst>
            <a:gd name="adj1" fmla="val 49875"/>
            <a:gd name="adj2" fmla="val -1105453"/>
            <a:gd name="adj3" fmla="val -142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6</xdr:row>
      <xdr:rowOff>66675</xdr:rowOff>
    </xdr:from>
    <xdr:to>
      <xdr:col>14</xdr:col>
      <xdr:colOff>161925</xdr:colOff>
      <xdr:row>12</xdr:row>
      <xdr:rowOff>104775</xdr:rowOff>
    </xdr:to>
    <xdr:sp>
      <xdr:nvSpPr>
        <xdr:cNvPr id="40" name="AutoShape 80"/>
        <xdr:cNvSpPr>
          <a:spLocks/>
        </xdr:cNvSpPr>
      </xdr:nvSpPr>
      <xdr:spPr>
        <a:xfrm flipV="1">
          <a:off x="6610350" y="1038225"/>
          <a:ext cx="3152775" cy="1009650"/>
        </a:xfrm>
        <a:prstGeom prst="bentConnector2">
          <a:avLst>
            <a:gd name="adj1" fmla="val -259865"/>
            <a:gd name="adj2" fmla="val 152828"/>
            <a:gd name="adj3" fmla="val -2598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123825</xdr:rowOff>
    </xdr:from>
    <xdr:to>
      <xdr:col>10</xdr:col>
      <xdr:colOff>66675</xdr:colOff>
      <xdr:row>21</xdr:row>
      <xdr:rowOff>133350</xdr:rowOff>
    </xdr:to>
    <xdr:sp>
      <xdr:nvSpPr>
        <xdr:cNvPr id="41" name="Rectangle 81"/>
        <xdr:cNvSpPr>
          <a:spLocks/>
        </xdr:cNvSpPr>
      </xdr:nvSpPr>
      <xdr:spPr>
        <a:xfrm>
          <a:off x="6286500" y="3038475"/>
          <a:ext cx="6381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Прямая заработная плата</a:t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12</xdr:col>
      <xdr:colOff>676275</xdr:colOff>
      <xdr:row>26</xdr:row>
      <xdr:rowOff>133350</xdr:rowOff>
    </xdr:to>
    <xdr:sp>
      <xdr:nvSpPr>
        <xdr:cNvPr id="42" name="AutoShape 82"/>
        <xdr:cNvSpPr>
          <a:spLocks/>
        </xdr:cNvSpPr>
      </xdr:nvSpPr>
      <xdr:spPr>
        <a:xfrm rot="16200000" flipH="1">
          <a:off x="6219825" y="1876425"/>
          <a:ext cx="2686050" cy="2466975"/>
        </a:xfrm>
        <a:prstGeom prst="bentConnector2">
          <a:avLst>
            <a:gd name="adj1" fmla="val -273939"/>
            <a:gd name="adj2" fmla="val 28486"/>
            <a:gd name="adj3" fmla="val -2739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18</xdr:row>
      <xdr:rowOff>123825</xdr:rowOff>
    </xdr:from>
    <xdr:to>
      <xdr:col>10</xdr:col>
      <xdr:colOff>76200</xdr:colOff>
      <xdr:row>21</xdr:row>
      <xdr:rowOff>133350</xdr:rowOff>
    </xdr:to>
    <xdr:sp>
      <xdr:nvSpPr>
        <xdr:cNvPr id="43" name="Rectangle 83"/>
        <xdr:cNvSpPr>
          <a:spLocks/>
        </xdr:cNvSpPr>
      </xdr:nvSpPr>
      <xdr:spPr>
        <a:xfrm>
          <a:off x="6305550" y="3038475"/>
          <a:ext cx="628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Прямая заработная плата</a:t>
          </a:r>
        </a:p>
      </xdr:txBody>
    </xdr:sp>
    <xdr:clientData/>
  </xdr:twoCellAnchor>
  <xdr:twoCellAnchor>
    <xdr:from>
      <xdr:col>8</xdr:col>
      <xdr:colOff>180975</xdr:colOff>
      <xdr:row>14</xdr:row>
      <xdr:rowOff>9525</xdr:rowOff>
    </xdr:from>
    <xdr:to>
      <xdr:col>9</xdr:col>
      <xdr:colOff>323850</xdr:colOff>
      <xdr:row>15</xdr:row>
      <xdr:rowOff>142875</xdr:rowOff>
    </xdr:to>
    <xdr:sp>
      <xdr:nvSpPr>
        <xdr:cNvPr id="44" name="Rectangle 84"/>
        <xdr:cNvSpPr>
          <a:spLocks/>
        </xdr:cNvSpPr>
      </xdr:nvSpPr>
      <xdr:spPr>
        <a:xfrm>
          <a:off x="5667375" y="2276475"/>
          <a:ext cx="828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Кредиторская задолженность</a:t>
          </a:r>
        </a:p>
      </xdr:txBody>
    </xdr:sp>
    <xdr:clientData/>
  </xdr:twoCellAnchor>
  <xdr:twoCellAnchor>
    <xdr:from>
      <xdr:col>1</xdr:col>
      <xdr:colOff>266700</xdr:colOff>
      <xdr:row>5</xdr:row>
      <xdr:rowOff>104775</xdr:rowOff>
    </xdr:from>
    <xdr:to>
      <xdr:col>12</xdr:col>
      <xdr:colOff>676275</xdr:colOff>
      <xdr:row>26</xdr:row>
      <xdr:rowOff>133350</xdr:rowOff>
    </xdr:to>
    <xdr:sp>
      <xdr:nvSpPr>
        <xdr:cNvPr id="45" name="AutoShape 85"/>
        <xdr:cNvSpPr>
          <a:spLocks/>
        </xdr:cNvSpPr>
      </xdr:nvSpPr>
      <xdr:spPr>
        <a:xfrm rot="16200000" flipH="1">
          <a:off x="952500" y="914400"/>
          <a:ext cx="7953375" cy="3429000"/>
        </a:xfrm>
        <a:prstGeom prst="bentConnector2">
          <a:avLst>
            <a:gd name="adj1" fmla="val -74722"/>
            <a:gd name="adj2" fmla="val -37060"/>
            <a:gd name="adj3" fmla="val -747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571500</xdr:colOff>
      <xdr:row>12</xdr:row>
      <xdr:rowOff>114300</xdr:rowOff>
    </xdr:from>
    <xdr:to>
      <xdr:col>2</xdr:col>
      <xdr:colOff>19050</xdr:colOff>
      <xdr:row>14</xdr:row>
      <xdr:rowOff>85725</xdr:rowOff>
    </xdr:to>
    <xdr:sp>
      <xdr:nvSpPr>
        <xdr:cNvPr id="46" name="Rectangle 86"/>
        <xdr:cNvSpPr>
          <a:spLocks/>
        </xdr:cNvSpPr>
      </xdr:nvSpPr>
      <xdr:spPr>
        <a:xfrm>
          <a:off x="571500" y="2057400"/>
          <a:ext cx="819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Дебиторская задолженность</a:t>
          </a:r>
        </a:p>
      </xdr:txBody>
    </xdr:sp>
    <xdr:clientData/>
  </xdr:twoCellAnchor>
  <xdr:twoCellAnchor>
    <xdr:from>
      <xdr:col>6</xdr:col>
      <xdr:colOff>85725</xdr:colOff>
      <xdr:row>11</xdr:row>
      <xdr:rowOff>76200</xdr:rowOff>
    </xdr:from>
    <xdr:to>
      <xdr:col>12</xdr:col>
      <xdr:colOff>676275</xdr:colOff>
      <xdr:row>26</xdr:row>
      <xdr:rowOff>133350</xdr:rowOff>
    </xdr:to>
    <xdr:sp>
      <xdr:nvSpPr>
        <xdr:cNvPr id="47" name="AutoShape 87"/>
        <xdr:cNvSpPr>
          <a:spLocks/>
        </xdr:cNvSpPr>
      </xdr:nvSpPr>
      <xdr:spPr>
        <a:xfrm rot="16200000" flipH="1">
          <a:off x="4200525" y="1857375"/>
          <a:ext cx="4705350" cy="2486025"/>
        </a:xfrm>
        <a:prstGeom prst="bentConnector2">
          <a:avLst>
            <a:gd name="adj1" fmla="val -200189"/>
            <a:gd name="adj2" fmla="val -5578"/>
            <a:gd name="adj3" fmla="val -2001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17</xdr:row>
      <xdr:rowOff>19050</xdr:rowOff>
    </xdr:from>
    <xdr:to>
      <xdr:col>6</xdr:col>
      <xdr:colOff>609600</xdr:colOff>
      <xdr:row>18</xdr:row>
      <xdr:rowOff>152400</xdr:rowOff>
    </xdr:to>
    <xdr:sp>
      <xdr:nvSpPr>
        <xdr:cNvPr id="48" name="Rectangle 88"/>
        <xdr:cNvSpPr>
          <a:spLocks/>
        </xdr:cNvSpPr>
      </xdr:nvSpPr>
      <xdr:spPr>
        <a:xfrm>
          <a:off x="3629025" y="2771775"/>
          <a:ext cx="1095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Запасы сырья, готовой продукции</a:t>
          </a:r>
        </a:p>
      </xdr:txBody>
    </xdr:sp>
    <xdr:clientData/>
  </xdr:twoCellAnchor>
  <xdr:twoCellAnchor>
    <xdr:from>
      <xdr:col>3</xdr:col>
      <xdr:colOff>228600</xdr:colOff>
      <xdr:row>28</xdr:row>
      <xdr:rowOff>104775</xdr:rowOff>
    </xdr:from>
    <xdr:to>
      <xdr:col>5</xdr:col>
      <xdr:colOff>9525</xdr:colOff>
      <xdr:row>31</xdr:row>
      <xdr:rowOff>47625</xdr:rowOff>
    </xdr:to>
    <xdr:sp>
      <xdr:nvSpPr>
        <xdr:cNvPr id="49" name="Rectangle 89">
          <a:hlinkClick r:id="rId13"/>
        </xdr:cNvPr>
        <xdr:cNvSpPr>
          <a:spLocks/>
        </xdr:cNvSpPr>
      </xdr:nvSpPr>
      <xdr:spPr>
        <a:xfrm>
          <a:off x="2286000" y="4638675"/>
          <a:ext cx="1152525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Технологическая карта 1</a:t>
          </a:r>
        </a:p>
      </xdr:txBody>
    </xdr:sp>
    <xdr:clientData/>
  </xdr:twoCellAnchor>
  <xdr:twoCellAnchor>
    <xdr:from>
      <xdr:col>3</xdr:col>
      <xdr:colOff>247650</xdr:colOff>
      <xdr:row>33</xdr:row>
      <xdr:rowOff>19050</xdr:rowOff>
    </xdr:from>
    <xdr:to>
      <xdr:col>5</xdr:col>
      <xdr:colOff>28575</xdr:colOff>
      <xdr:row>35</xdr:row>
      <xdr:rowOff>123825</xdr:rowOff>
    </xdr:to>
    <xdr:sp>
      <xdr:nvSpPr>
        <xdr:cNvPr id="50" name="Rectangle 92">
          <a:hlinkClick r:id="rId14"/>
        </xdr:cNvPr>
        <xdr:cNvSpPr>
          <a:spLocks/>
        </xdr:cNvSpPr>
      </xdr:nvSpPr>
      <xdr:spPr>
        <a:xfrm>
          <a:off x="2305050" y="5362575"/>
          <a:ext cx="1152525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Технологическая карта 2</a:t>
          </a:r>
        </a:p>
      </xdr:txBody>
    </xdr:sp>
    <xdr:clientData/>
  </xdr:twoCellAnchor>
  <xdr:twoCellAnchor>
    <xdr:from>
      <xdr:col>3</xdr:col>
      <xdr:colOff>247650</xdr:colOff>
      <xdr:row>38</xdr:row>
      <xdr:rowOff>19050</xdr:rowOff>
    </xdr:from>
    <xdr:to>
      <xdr:col>5</xdr:col>
      <xdr:colOff>28575</xdr:colOff>
      <xdr:row>40</xdr:row>
      <xdr:rowOff>123825</xdr:rowOff>
    </xdr:to>
    <xdr:sp>
      <xdr:nvSpPr>
        <xdr:cNvPr id="51" name="Rectangle 93">
          <a:hlinkClick r:id="rId15"/>
        </xdr:cNvPr>
        <xdr:cNvSpPr>
          <a:spLocks/>
        </xdr:cNvSpPr>
      </xdr:nvSpPr>
      <xdr:spPr>
        <a:xfrm>
          <a:off x="2305050" y="6172200"/>
          <a:ext cx="1152525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Производственная программа</a:t>
          </a:r>
        </a:p>
      </xdr:txBody>
    </xdr:sp>
    <xdr:clientData/>
  </xdr:twoCellAnchor>
  <xdr:twoCellAnchor>
    <xdr:from>
      <xdr:col>4</xdr:col>
      <xdr:colOff>114300</xdr:colOff>
      <xdr:row>11</xdr:row>
      <xdr:rowOff>85725</xdr:rowOff>
    </xdr:from>
    <xdr:to>
      <xdr:col>4</xdr:col>
      <xdr:colOff>133350</xdr:colOff>
      <xdr:row>28</xdr:row>
      <xdr:rowOff>104775</xdr:rowOff>
    </xdr:to>
    <xdr:sp>
      <xdr:nvSpPr>
        <xdr:cNvPr id="52" name="AutoShape 94"/>
        <xdr:cNvSpPr>
          <a:spLocks/>
        </xdr:cNvSpPr>
      </xdr:nvSpPr>
      <xdr:spPr>
        <a:xfrm flipH="1">
          <a:off x="2857500" y="1866900"/>
          <a:ext cx="9525" cy="2771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247650</xdr:colOff>
      <xdr:row>34</xdr:row>
      <xdr:rowOff>76200</xdr:rowOff>
    </xdr:to>
    <xdr:sp>
      <xdr:nvSpPr>
        <xdr:cNvPr id="53" name="AutoShape 95"/>
        <xdr:cNvSpPr>
          <a:spLocks/>
        </xdr:cNvSpPr>
      </xdr:nvSpPr>
      <xdr:spPr>
        <a:xfrm rot="10800000" flipH="1" flipV="1">
          <a:off x="2286000" y="4857750"/>
          <a:ext cx="19050" cy="723900"/>
        </a:xfrm>
        <a:prstGeom prst="bentConnector3">
          <a:avLst>
            <a:gd name="adj1" fmla="val -1200000"/>
            <a:gd name="adj2" fmla="val 671050"/>
            <a:gd name="adj3" fmla="val 106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31</xdr:row>
      <xdr:rowOff>114300</xdr:rowOff>
    </xdr:from>
    <xdr:to>
      <xdr:col>3</xdr:col>
      <xdr:colOff>180975</xdr:colOff>
      <xdr:row>33</xdr:row>
      <xdr:rowOff>76200</xdr:rowOff>
    </xdr:to>
    <xdr:sp>
      <xdr:nvSpPr>
        <xdr:cNvPr id="54" name="Rectangle 96"/>
        <xdr:cNvSpPr>
          <a:spLocks/>
        </xdr:cNvSpPr>
      </xdr:nvSpPr>
      <xdr:spPr>
        <a:xfrm>
          <a:off x="1504950" y="5133975"/>
          <a:ext cx="733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Нормативы по сырью</a:t>
          </a:r>
        </a:p>
      </xdr:txBody>
    </xdr:sp>
    <xdr:clientData/>
  </xdr:twoCellAnchor>
  <xdr:twoCellAnchor>
    <xdr:from>
      <xdr:col>3</xdr:col>
      <xdr:colOff>228600</xdr:colOff>
      <xdr:row>30</xdr:row>
      <xdr:rowOff>0</xdr:rowOff>
    </xdr:from>
    <xdr:to>
      <xdr:col>3</xdr:col>
      <xdr:colOff>247650</xdr:colOff>
      <xdr:row>39</xdr:row>
      <xdr:rowOff>76200</xdr:rowOff>
    </xdr:to>
    <xdr:sp>
      <xdr:nvSpPr>
        <xdr:cNvPr id="55" name="AutoShape 97"/>
        <xdr:cNvSpPr>
          <a:spLocks/>
        </xdr:cNvSpPr>
      </xdr:nvSpPr>
      <xdr:spPr>
        <a:xfrm rot="10800000" flipH="1" flipV="1">
          <a:off x="2286000" y="4857750"/>
          <a:ext cx="19050" cy="1533525"/>
        </a:xfrm>
        <a:prstGeom prst="bentConnector3">
          <a:avLst>
            <a:gd name="adj1" fmla="val -1200000"/>
            <a:gd name="adj2" fmla="val 316768"/>
            <a:gd name="adj3" fmla="val 106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76200</xdr:rowOff>
    </xdr:from>
    <xdr:to>
      <xdr:col>3</xdr:col>
      <xdr:colOff>190500</xdr:colOff>
      <xdr:row>38</xdr:row>
      <xdr:rowOff>38100</xdr:rowOff>
    </xdr:to>
    <xdr:sp>
      <xdr:nvSpPr>
        <xdr:cNvPr id="56" name="Rectangle 98"/>
        <xdr:cNvSpPr>
          <a:spLocks/>
        </xdr:cNvSpPr>
      </xdr:nvSpPr>
      <xdr:spPr>
        <a:xfrm>
          <a:off x="1381125" y="5905500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Производство по видам ГП</a:t>
          </a:r>
        </a:p>
      </xdr:txBody>
    </xdr:sp>
    <xdr:clientData/>
  </xdr:twoCellAnchor>
  <xdr:twoCellAnchor>
    <xdr:from>
      <xdr:col>5</xdr:col>
      <xdr:colOff>28575</xdr:colOff>
      <xdr:row>38</xdr:row>
      <xdr:rowOff>57150</xdr:rowOff>
    </xdr:from>
    <xdr:to>
      <xdr:col>8</xdr:col>
      <xdr:colOff>523875</xdr:colOff>
      <xdr:row>39</xdr:row>
      <xdr:rowOff>76200</xdr:rowOff>
    </xdr:to>
    <xdr:sp>
      <xdr:nvSpPr>
        <xdr:cNvPr id="57" name="AutoShape 100"/>
        <xdr:cNvSpPr>
          <a:spLocks/>
        </xdr:cNvSpPr>
      </xdr:nvSpPr>
      <xdr:spPr>
        <a:xfrm flipV="1">
          <a:off x="3457575" y="6210300"/>
          <a:ext cx="2552700" cy="180975"/>
        </a:xfrm>
        <a:prstGeom prst="bentConnector2">
          <a:avLst>
            <a:gd name="adj1" fmla="val -185712"/>
            <a:gd name="adj2" fmla="val 3481578"/>
            <a:gd name="adj3" fmla="val -1857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95250</xdr:rowOff>
    </xdr:from>
    <xdr:to>
      <xdr:col>9</xdr:col>
      <xdr:colOff>47625</xdr:colOff>
      <xdr:row>34</xdr:row>
      <xdr:rowOff>76200</xdr:rowOff>
    </xdr:to>
    <xdr:sp>
      <xdr:nvSpPr>
        <xdr:cNvPr id="58" name="AutoShape 101"/>
        <xdr:cNvSpPr>
          <a:spLocks/>
        </xdr:cNvSpPr>
      </xdr:nvSpPr>
      <xdr:spPr>
        <a:xfrm flipV="1">
          <a:off x="3457575" y="1876425"/>
          <a:ext cx="2762250" cy="3705225"/>
        </a:xfrm>
        <a:prstGeom prst="bentConnector2">
          <a:avLst>
            <a:gd name="adj1" fmla="val -175680"/>
            <a:gd name="adj2" fmla="val 100643"/>
            <a:gd name="adj3" fmla="val -17568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114300</xdr:rowOff>
    </xdr:from>
    <xdr:to>
      <xdr:col>7</xdr:col>
      <xdr:colOff>314325</xdr:colOff>
      <xdr:row>35</xdr:row>
      <xdr:rowOff>76200</xdr:rowOff>
    </xdr:to>
    <xdr:sp>
      <xdr:nvSpPr>
        <xdr:cNvPr id="59" name="Rectangle 102"/>
        <xdr:cNvSpPr>
          <a:spLocks/>
        </xdr:cNvSpPr>
      </xdr:nvSpPr>
      <xdr:spPr>
        <a:xfrm>
          <a:off x="4114800" y="5457825"/>
          <a:ext cx="1000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Нормативы сырья на единицу ГП</a:t>
          </a:r>
        </a:p>
      </xdr:txBody>
    </xdr:sp>
    <xdr:clientData/>
  </xdr:twoCellAnchor>
  <xdr:twoCellAnchor>
    <xdr:from>
      <xdr:col>5</xdr:col>
      <xdr:colOff>9525</xdr:colOff>
      <xdr:row>11</xdr:row>
      <xdr:rowOff>95250</xdr:rowOff>
    </xdr:from>
    <xdr:to>
      <xdr:col>9</xdr:col>
      <xdr:colOff>47625</xdr:colOff>
      <xdr:row>30</xdr:row>
      <xdr:rowOff>0</xdr:rowOff>
    </xdr:to>
    <xdr:sp>
      <xdr:nvSpPr>
        <xdr:cNvPr id="60" name="AutoShape 103"/>
        <xdr:cNvSpPr>
          <a:spLocks/>
        </xdr:cNvSpPr>
      </xdr:nvSpPr>
      <xdr:spPr>
        <a:xfrm flipV="1">
          <a:off x="3438525" y="1876425"/>
          <a:ext cx="2781300" cy="2981325"/>
        </a:xfrm>
        <a:prstGeom prst="bentConnector2">
          <a:avLst>
            <a:gd name="adj1" fmla="val -173939"/>
            <a:gd name="adj2" fmla="val 112939"/>
            <a:gd name="adj3" fmla="val -1739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609600</xdr:colOff>
      <xdr:row>29</xdr:row>
      <xdr:rowOff>57150</xdr:rowOff>
    </xdr:from>
    <xdr:to>
      <xdr:col>7</xdr:col>
      <xdr:colOff>238125</xdr:colOff>
      <xdr:row>31</xdr:row>
      <xdr:rowOff>19050</xdr:rowOff>
    </xdr:to>
    <xdr:sp>
      <xdr:nvSpPr>
        <xdr:cNvPr id="61" name="Rectangle 104"/>
        <xdr:cNvSpPr>
          <a:spLocks/>
        </xdr:cNvSpPr>
      </xdr:nvSpPr>
      <xdr:spPr>
        <a:xfrm>
          <a:off x="4038600" y="4752975"/>
          <a:ext cx="1000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Потребность в сырье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43;&#1088;&#1072;&#1092;\&#1060;&#1086;&#1088;&#1084;&#1072;%20&#1050;&#1072;&#1083;&#1100;&#1082;&#1091;&#1083;&#1103;&#1094;&#1080;&#1080;-&#1058;&#1050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5"/>
      <sheetName val="Форма"/>
      <sheetName val="Лист2"/>
      <sheetName val="Лист3"/>
    </sheetNames>
    <sheetDataSet>
      <sheetData sheetId="1">
        <row r="71">
          <cell r="C71" t="str">
            <v>кг</v>
          </cell>
        </row>
        <row r="72">
          <cell r="C72" t="str">
            <v>кг</v>
          </cell>
        </row>
        <row r="73">
          <cell r="C73" t="str">
            <v>кг</v>
          </cell>
        </row>
        <row r="74">
          <cell r="C74" t="str">
            <v>кг</v>
          </cell>
        </row>
        <row r="75">
          <cell r="C75" t="str">
            <v>кг</v>
          </cell>
        </row>
        <row r="76">
          <cell r="C76" t="str">
            <v>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M3" sqref="M3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283"/>
  <sheetViews>
    <sheetView view="pageBreakPreview" zoomScale="85" zoomScaleSheetLayoutView="85" workbookViewId="0" topLeftCell="A1">
      <pane ySplit="1" topLeftCell="BM26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0.125" style="27" customWidth="1"/>
    <col min="3" max="3" width="12.00390625" style="27" customWidth="1"/>
    <col min="4" max="4" width="11.375" style="27" bestFit="1" customWidth="1"/>
    <col min="5" max="5" width="12.375" style="27" bestFit="1" customWidth="1"/>
    <col min="6" max="14" width="11.25390625" style="27" bestFit="1" customWidth="1"/>
    <col min="15" max="15" width="12.375" style="27" bestFit="1" customWidth="1"/>
    <col min="16" max="17" width="9.625" style="27" bestFit="1" customWidth="1"/>
    <col min="18" max="16384" width="9.125" style="27" customWidth="1"/>
  </cols>
  <sheetData>
    <row r="1" spans="1:15" ht="18">
      <c r="A1" s="608"/>
      <c r="C1" s="96" t="s">
        <v>91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9"/>
    </row>
    <row r="2" spans="3:15" ht="10.5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79"/>
    </row>
    <row r="3" spans="1:15" ht="13.5" thickBot="1">
      <c r="A3" s="77" t="s">
        <v>324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9"/>
    </row>
    <row r="4" spans="1:15" ht="21">
      <c r="A4" s="55" t="s">
        <v>90</v>
      </c>
      <c r="B4" s="55"/>
      <c r="C4" s="56">
        <v>39448</v>
      </c>
      <c r="D4" s="56">
        <v>39479</v>
      </c>
      <c r="E4" s="56">
        <v>39508</v>
      </c>
      <c r="F4" s="56">
        <v>39539</v>
      </c>
      <c r="G4" s="56">
        <v>39569</v>
      </c>
      <c r="H4" s="56">
        <v>39600</v>
      </c>
      <c r="I4" s="56">
        <v>39630</v>
      </c>
      <c r="J4" s="56">
        <v>39661</v>
      </c>
      <c r="K4" s="56">
        <v>39692</v>
      </c>
      <c r="L4" s="56">
        <v>39722</v>
      </c>
      <c r="M4" s="56">
        <v>39753</v>
      </c>
      <c r="N4" s="56">
        <v>39783</v>
      </c>
      <c r="O4" s="366" t="s">
        <v>67</v>
      </c>
    </row>
    <row r="5" spans="1:15" ht="10.5">
      <c r="A5" s="16" t="s">
        <v>402</v>
      </c>
      <c r="B5" s="127"/>
      <c r="C5" s="128">
        <f>SUMIF('Технологическая карта 1'!$C$114:$C$123,$A5,'Технологическая карта 1'!L$114:L$123)</f>
        <v>0</v>
      </c>
      <c r="D5" s="128">
        <f>SUMIF('Технологическая карта 1'!$C$114:$C$123,$A5,'Технологическая карта 1'!T$114:T$123)</f>
        <v>0</v>
      </c>
      <c r="E5" s="128">
        <f>SUMIF('Технологическая карта 1'!$C$114:$C$123,$A5,'Технологическая карта 1'!AB$114:AB$123)</f>
        <v>0</v>
      </c>
      <c r="F5" s="128">
        <f>SUMIF('Технологическая карта 1'!$C$114:$C$123,$A5,'Технологическая карта 1'!AJ$114:AJ$123)</f>
        <v>0</v>
      </c>
      <c r="G5" s="128">
        <f>SUMIF('Технологическая карта 1'!$C$114:$C$123,$A5,'Технологическая карта 1'!AR$114:AR$123)</f>
        <v>0</v>
      </c>
      <c r="H5" s="128">
        <f>SUMIF('Технологическая карта 1'!$C$114:$C$123,$A5,'Технологическая карта 1'!AZ$114:AZ$123)</f>
        <v>0</v>
      </c>
      <c r="I5" s="128">
        <f>SUMIF('Технологическая карта 1'!$C$114:$C$123,$A5,'Технологическая карта 1'!BH$114:BH$123)</f>
        <v>0</v>
      </c>
      <c r="J5" s="128">
        <f>SUMIF('Технологическая карта 1'!$C$114:$C$123,$A5,'Технологическая карта 1'!BP$114:BP$123)</f>
        <v>0</v>
      </c>
      <c r="K5" s="128">
        <f>SUMIF('Технологическая карта 1'!$C$114:$C$123,$A5,'Технологическая карта 1'!BX$114:BX$123)</f>
        <v>0</v>
      </c>
      <c r="L5" s="128">
        <f>SUMIF('Технологическая карта 1'!$C$114:$C$123,$A5,'Технологическая карта 1'!CF$114:CF$123)</f>
        <v>0</v>
      </c>
      <c r="M5" s="128">
        <f>SUMIF('Технологическая карта 1'!$C$114:$C$123,$A5,'Технологическая карта 1'!CN$114:CN$123)</f>
        <v>0</v>
      </c>
      <c r="N5" s="128">
        <f>SUMIF('Технологическая карта 1'!$C$114:$C$123,$A5,'Технологическая карта 1'!CV$114:CV$123)</f>
        <v>0</v>
      </c>
      <c r="O5" s="192">
        <f>SUM(C5:N5)</f>
        <v>0</v>
      </c>
    </row>
    <row r="6" spans="1:15" ht="10.5">
      <c r="A6" s="16" t="s">
        <v>403</v>
      </c>
      <c r="B6" s="131"/>
      <c r="C6" s="83">
        <f>SUMIF('Технологическая карта 1'!$C$114:$C$123,$A6,'Технологическая карта 1'!L$114:L$123)</f>
        <v>0</v>
      </c>
      <c r="D6" s="83">
        <f>SUMIF('Технологическая карта 1'!$C$114:$C$123,$A6,'Технологическая карта 1'!T$114:T$123)</f>
        <v>0</v>
      </c>
      <c r="E6" s="83">
        <f>SUMIF('Технологическая карта 1'!$C$114:$C$123,$A6,'Технологическая карта 1'!AB$114:AB$123)</f>
        <v>0</v>
      </c>
      <c r="F6" s="83">
        <f>SUMIF('Технологическая карта 1'!$C$114:$C$123,$A6,'Технологическая карта 1'!AJ$114:AJ$123)</f>
        <v>0</v>
      </c>
      <c r="G6" s="83">
        <f>SUMIF('Технологическая карта 1'!$C$114:$C$123,$A6,'Технологическая карта 1'!AR$114:AR$123)</f>
        <v>0</v>
      </c>
      <c r="H6" s="83">
        <f>SUMIF('Технологическая карта 1'!$C$114:$C$123,$A6,'Технологическая карта 1'!AZ$114:AZ$123)</f>
        <v>0</v>
      </c>
      <c r="I6" s="83">
        <f>SUMIF('Технологическая карта 1'!$C$114:$C$123,$A6,'Технологическая карта 1'!BH$114:BH$123)</f>
        <v>0</v>
      </c>
      <c r="J6" s="83">
        <f>SUMIF('Технологическая карта 1'!$C$114:$C$123,$A6,'Технологическая карта 1'!BP$114:BP$123)</f>
        <v>0</v>
      </c>
      <c r="K6" s="83">
        <f>SUMIF('Технологическая карта 1'!$C$114:$C$123,$A6,'Технологическая карта 1'!BX$114:BX$123)</f>
        <v>0</v>
      </c>
      <c r="L6" s="83">
        <f>SUMIF('Технологическая карта 1'!$C$114:$C$123,$A6,'Технологическая карта 1'!CF$114:CF$123)</f>
        <v>0</v>
      </c>
      <c r="M6" s="83">
        <f>SUMIF('Технологическая карта 1'!$C$114:$C$123,$A6,'Технологическая карта 1'!CN$114:CN$123)</f>
        <v>0</v>
      </c>
      <c r="N6" s="83">
        <f>SUMIF('Технологическая карта 1'!$C$114:$C$123,$A6,'Технологическая карта 1'!CV$114:CV$123)</f>
        <v>0</v>
      </c>
      <c r="O6" s="194">
        <f aca="true" t="shared" si="0" ref="O6:O13">SUM(C6:N6)</f>
        <v>0</v>
      </c>
    </row>
    <row r="7" spans="1:15" ht="10.5">
      <c r="A7" s="16" t="s">
        <v>404</v>
      </c>
      <c r="B7" s="131"/>
      <c r="C7" s="83">
        <f>SUMIF('Технологическая карта 1'!$C$114:$C$123,$A7,'Технологическая карта 1'!L$114:L$123)</f>
        <v>0</v>
      </c>
      <c r="D7" s="83">
        <f>SUMIF('Технологическая карта 1'!$C$114:$C$123,$A7,'Технологическая карта 1'!T$114:T$123)</f>
        <v>0</v>
      </c>
      <c r="E7" s="83">
        <f>SUMIF('Технологическая карта 1'!$C$114:$C$123,$A7,'Технологическая карта 1'!AB$114:AB$123)</f>
        <v>0</v>
      </c>
      <c r="F7" s="83">
        <f>SUMIF('Технологическая карта 1'!$C$114:$C$123,$A7,'Технологическая карта 1'!AJ$114:AJ$123)</f>
        <v>0</v>
      </c>
      <c r="G7" s="83">
        <f>SUMIF('Технологическая карта 1'!$C$114:$C$123,$A7,'Технологическая карта 1'!AR$114:AR$123)</f>
        <v>0</v>
      </c>
      <c r="H7" s="83">
        <f>SUMIF('Технологическая карта 1'!$C$114:$C$123,$A7,'Технологическая карта 1'!AZ$114:AZ$123)</f>
        <v>0</v>
      </c>
      <c r="I7" s="83">
        <f>SUMIF('Технологическая карта 1'!$C$114:$C$123,$A7,'Технологическая карта 1'!BH$114:BH$123)</f>
        <v>0</v>
      </c>
      <c r="J7" s="83">
        <f>SUMIF('Технологическая карта 1'!$C$114:$C$123,$A7,'Технологическая карта 1'!BP$114:BP$123)</f>
        <v>0</v>
      </c>
      <c r="K7" s="83">
        <f>SUMIF('Технологическая карта 1'!$C$114:$C$123,$A7,'Технологическая карта 1'!BX$114:BX$123)</f>
        <v>0</v>
      </c>
      <c r="L7" s="83">
        <f>SUMIF('Технологическая карта 1'!$C$114:$C$123,$A7,'Технологическая карта 1'!CF$114:CF$123)</f>
        <v>0</v>
      </c>
      <c r="M7" s="83">
        <f>SUMIF('Технологическая карта 1'!$C$114:$C$123,$A7,'Технологическая карта 1'!CN$114:CN$123)</f>
        <v>0</v>
      </c>
      <c r="N7" s="83">
        <f>SUMIF('Технологическая карта 1'!$C$114:$C$123,$A7,'Технологическая карта 1'!CV$114:CV$123)</f>
        <v>0</v>
      </c>
      <c r="O7" s="194">
        <f t="shared" si="0"/>
        <v>0</v>
      </c>
    </row>
    <row r="8" spans="1:15" ht="10.5">
      <c r="A8" s="16" t="s">
        <v>405</v>
      </c>
      <c r="B8" s="131"/>
      <c r="C8" s="83">
        <f>SUMIF('Технологическая карта 1'!$C$114:$C$123,$A8,'Технологическая карта 1'!L$114:L$123)</f>
        <v>0</v>
      </c>
      <c r="D8" s="83">
        <f>SUMIF('Технологическая карта 1'!$C$114:$C$123,$A8,'Технологическая карта 1'!T$114:T$123)</f>
        <v>0</v>
      </c>
      <c r="E8" s="83">
        <f>SUMIF('Технологическая карта 1'!$C$114:$C$123,$A8,'Технологическая карта 1'!AB$114:AB$123)</f>
        <v>0</v>
      </c>
      <c r="F8" s="83">
        <f>SUMIF('Технологическая карта 1'!$C$114:$C$123,$A8,'Технологическая карта 1'!AJ$114:AJ$123)</f>
        <v>0</v>
      </c>
      <c r="G8" s="83">
        <f>SUMIF('Технологическая карта 1'!$C$114:$C$123,$A8,'Технологическая карта 1'!AR$114:AR$123)</f>
        <v>0</v>
      </c>
      <c r="H8" s="83">
        <f>SUMIF('Технологическая карта 1'!$C$114:$C$123,$A8,'Технологическая карта 1'!AZ$114:AZ$123)</f>
        <v>0</v>
      </c>
      <c r="I8" s="83">
        <f>SUMIF('Технологическая карта 1'!$C$114:$C$123,$A8,'Технологическая карта 1'!BH$114:BH$123)</f>
        <v>0</v>
      </c>
      <c r="J8" s="83">
        <f>SUMIF('Технологическая карта 1'!$C$114:$C$123,$A8,'Технологическая карта 1'!BP$114:BP$123)</f>
        <v>0</v>
      </c>
      <c r="K8" s="83">
        <f>SUMIF('Технологическая карта 1'!$C$114:$C$123,$A8,'Технологическая карта 1'!BX$114:BX$123)</f>
        <v>0</v>
      </c>
      <c r="L8" s="83">
        <f>SUMIF('Технологическая карта 1'!$C$114:$C$123,$A8,'Технологическая карта 1'!CF$114:CF$123)</f>
        <v>0</v>
      </c>
      <c r="M8" s="83">
        <f>SUMIF('Технологическая карта 1'!$C$114:$C$123,$A8,'Технологическая карта 1'!CN$114:CN$123)</f>
        <v>0</v>
      </c>
      <c r="N8" s="83">
        <f>SUMIF('Технологическая карта 1'!$C$114:$C$123,$A8,'Технологическая карта 1'!CV$114:CV$123)</f>
        <v>0</v>
      </c>
      <c r="O8" s="194">
        <f t="shared" si="0"/>
        <v>0</v>
      </c>
    </row>
    <row r="9" spans="1:15" ht="10.5">
      <c r="A9" s="16" t="s">
        <v>406</v>
      </c>
      <c r="B9" s="131"/>
      <c r="C9" s="83">
        <f>SUMIF('Технологическая карта 1'!$C$114:$C$123,$A9,'Технологическая карта 1'!L$114:L$123)</f>
        <v>0</v>
      </c>
      <c r="D9" s="83">
        <f>SUMIF('Технологическая карта 1'!$C$114:$C$123,$A9,'Технологическая карта 1'!T$114:T$123)</f>
        <v>0</v>
      </c>
      <c r="E9" s="83">
        <f>SUMIF('Технологическая карта 1'!$C$114:$C$123,$A9,'Технологическая карта 1'!AB$114:AB$123)</f>
        <v>0</v>
      </c>
      <c r="F9" s="83">
        <f>SUMIF('Технологическая карта 1'!$C$114:$C$123,$A9,'Технологическая карта 1'!AJ$114:AJ$123)</f>
        <v>0</v>
      </c>
      <c r="G9" s="83">
        <f>SUMIF('Технологическая карта 1'!$C$114:$C$123,$A9,'Технологическая карта 1'!AR$114:AR$123)</f>
        <v>0</v>
      </c>
      <c r="H9" s="83">
        <f>SUMIF('Технологическая карта 1'!$C$114:$C$123,$A9,'Технологическая карта 1'!AZ$114:AZ$123)</f>
        <v>0</v>
      </c>
      <c r="I9" s="83">
        <f>SUMIF('Технологическая карта 1'!$C$114:$C$123,$A9,'Технологическая карта 1'!BH$114:BH$123)</f>
        <v>0</v>
      </c>
      <c r="J9" s="83">
        <f>SUMIF('Технологическая карта 1'!$C$114:$C$123,$A9,'Технологическая карта 1'!BP$114:BP$123)</f>
        <v>0</v>
      </c>
      <c r="K9" s="83">
        <f>SUMIF('Технологическая карта 1'!$C$114:$C$123,$A9,'Технологическая карта 1'!BX$114:BX$123)</f>
        <v>0</v>
      </c>
      <c r="L9" s="83">
        <f>SUMIF('Технологическая карта 1'!$C$114:$C$123,$A9,'Технологическая карта 1'!CF$114:CF$123)</f>
        <v>0</v>
      </c>
      <c r="M9" s="83">
        <f>SUMIF('Технологическая карта 1'!$C$114:$C$123,$A9,'Технологическая карта 1'!CN$114:CN$123)</f>
        <v>0</v>
      </c>
      <c r="N9" s="83">
        <f>SUMIF('Технологическая карта 1'!$C$114:$C$123,$A9,'Технологическая карта 1'!CV$114:CV$123)</f>
        <v>0</v>
      </c>
      <c r="O9" s="194">
        <f t="shared" si="0"/>
        <v>0</v>
      </c>
    </row>
    <row r="10" spans="1:15" ht="10.5">
      <c r="A10" s="16" t="s">
        <v>407</v>
      </c>
      <c r="B10" s="131"/>
      <c r="C10" s="83">
        <f>SUMIF('Технологическая карта 1'!$C$114:$C$123,$A10,'Технологическая карта 1'!L$114:L$123)</f>
        <v>0</v>
      </c>
      <c r="D10" s="83">
        <f>SUMIF('Технологическая карта 1'!$C$114:$C$123,$A10,'Технологическая карта 1'!T$114:T$123)</f>
        <v>0</v>
      </c>
      <c r="E10" s="83">
        <f>SUMIF('Технологическая карта 1'!$C$114:$C$123,$A10,'Технологическая карта 1'!AB$114:AB$123)</f>
        <v>0</v>
      </c>
      <c r="F10" s="83">
        <f>SUMIF('Технологическая карта 1'!$C$114:$C$123,$A10,'Технологическая карта 1'!AJ$114:AJ$123)</f>
        <v>0</v>
      </c>
      <c r="G10" s="83">
        <f>SUMIF('Технологическая карта 1'!$C$114:$C$123,$A10,'Технологическая карта 1'!AR$114:AR$123)</f>
        <v>0</v>
      </c>
      <c r="H10" s="83">
        <f>SUMIF('Технологическая карта 1'!$C$114:$C$123,$A10,'Технологическая карта 1'!AZ$114:AZ$123)</f>
        <v>0</v>
      </c>
      <c r="I10" s="83">
        <f>SUMIF('Технологическая карта 1'!$C$114:$C$123,$A10,'Технологическая карта 1'!BH$114:BH$123)</f>
        <v>0</v>
      </c>
      <c r="J10" s="83">
        <f>SUMIF('Технологическая карта 1'!$C$114:$C$123,$A10,'Технологическая карта 1'!BP$114:BP$123)</f>
        <v>0</v>
      </c>
      <c r="K10" s="83">
        <f>SUMIF('Технологическая карта 1'!$C$114:$C$123,$A10,'Технологическая карта 1'!BX$114:BX$123)</f>
        <v>0</v>
      </c>
      <c r="L10" s="83">
        <f>SUMIF('Технологическая карта 1'!$C$114:$C$123,$A10,'Технологическая карта 1'!CF$114:CF$123)</f>
        <v>0</v>
      </c>
      <c r="M10" s="83">
        <f>SUMIF('Технологическая карта 1'!$C$114:$C$123,$A10,'Технологическая карта 1'!CN$114:CN$123)</f>
        <v>0</v>
      </c>
      <c r="N10" s="83">
        <f>SUMIF('Технологическая карта 1'!$C$114:$C$123,$A10,'Технологическая карта 1'!CV$114:CV$123)</f>
        <v>0</v>
      </c>
      <c r="O10" s="194">
        <f t="shared" si="0"/>
        <v>0</v>
      </c>
    </row>
    <row r="11" spans="1:15" ht="10.5">
      <c r="A11" s="16" t="s">
        <v>408</v>
      </c>
      <c r="B11" s="131"/>
      <c r="C11" s="83">
        <f>SUMIF('Технологическая карта 1'!$C$114:$C$123,$A11,'Технологическая карта 1'!L$114:L$123)</f>
        <v>0</v>
      </c>
      <c r="D11" s="83">
        <f>SUMIF('Технологическая карта 1'!$C$114:$C$123,$A11,'Технологическая карта 1'!T$114:T$123)</f>
        <v>0</v>
      </c>
      <c r="E11" s="83">
        <f>SUMIF('Технологическая карта 1'!$C$114:$C$123,$A11,'Технологическая карта 1'!AB$114:AB$123)</f>
        <v>0</v>
      </c>
      <c r="F11" s="83">
        <f>SUMIF('Технологическая карта 1'!$C$114:$C$123,$A11,'Технологическая карта 1'!AJ$114:AJ$123)</f>
        <v>0</v>
      </c>
      <c r="G11" s="83">
        <f>SUMIF('Технологическая карта 1'!$C$114:$C$123,$A11,'Технологическая карта 1'!AR$114:AR$123)</f>
        <v>0</v>
      </c>
      <c r="H11" s="83">
        <f>SUMIF('Технологическая карта 1'!$C$114:$C$123,$A11,'Технологическая карта 1'!AZ$114:AZ$123)</f>
        <v>0</v>
      </c>
      <c r="I11" s="83">
        <f>SUMIF('Технологическая карта 1'!$C$114:$C$123,$A11,'Технологическая карта 1'!BH$114:BH$123)</f>
        <v>0</v>
      </c>
      <c r="J11" s="83">
        <f>SUMIF('Технологическая карта 1'!$C$114:$C$123,$A11,'Технологическая карта 1'!BP$114:BP$123)</f>
        <v>0</v>
      </c>
      <c r="K11" s="83">
        <f>SUMIF('Технологическая карта 1'!$C$114:$C$123,$A11,'Технологическая карта 1'!BX$114:BX$123)</f>
        <v>0</v>
      </c>
      <c r="L11" s="83">
        <f>SUMIF('Технологическая карта 1'!$C$114:$C$123,$A11,'Технологическая карта 1'!CF$114:CF$123)</f>
        <v>0</v>
      </c>
      <c r="M11" s="83">
        <f>SUMIF('Технологическая карта 1'!$C$114:$C$123,$A11,'Технологическая карта 1'!CN$114:CN$123)</f>
        <v>0</v>
      </c>
      <c r="N11" s="83">
        <f>SUMIF('Технологическая карта 1'!$C$114:$C$123,$A11,'Технологическая карта 1'!CV$114:CV$123)</f>
        <v>0</v>
      </c>
      <c r="O11" s="194">
        <f t="shared" si="0"/>
        <v>0</v>
      </c>
    </row>
    <row r="12" spans="1:15" ht="10.5">
      <c r="A12" s="16" t="s">
        <v>409</v>
      </c>
      <c r="B12" s="131"/>
      <c r="C12" s="83">
        <f>SUMIF('Технологическая карта 1'!$C$114:$C$123,$A12,'Технологическая карта 1'!L$114:L$123)</f>
        <v>0</v>
      </c>
      <c r="D12" s="83">
        <f>SUMIF('Технологическая карта 1'!$C$114:$C$123,$A12,'Технологическая карта 1'!T$114:T$123)</f>
        <v>0</v>
      </c>
      <c r="E12" s="83">
        <f>SUMIF('Технологическая карта 1'!$C$114:$C$123,$A12,'Технологическая карта 1'!AB$114:AB$123)</f>
        <v>0</v>
      </c>
      <c r="F12" s="83">
        <f>SUMIF('Технологическая карта 1'!$C$114:$C$123,$A12,'Технологическая карта 1'!AJ$114:AJ$123)</f>
        <v>0</v>
      </c>
      <c r="G12" s="83">
        <f>SUMIF('Технологическая карта 1'!$C$114:$C$123,$A12,'Технологическая карта 1'!AR$114:AR$123)</f>
        <v>0</v>
      </c>
      <c r="H12" s="83">
        <f>SUMIF('Технологическая карта 1'!$C$114:$C$123,$A12,'Технологическая карта 1'!AZ$114:AZ$123)</f>
        <v>0</v>
      </c>
      <c r="I12" s="83">
        <f>SUMIF('Технологическая карта 1'!$C$114:$C$123,$A12,'Технологическая карта 1'!BH$114:BH$123)</f>
        <v>0</v>
      </c>
      <c r="J12" s="83">
        <f>SUMIF('Технологическая карта 1'!$C$114:$C$123,$A12,'Технологическая карта 1'!BP$114:BP$123)</f>
        <v>0</v>
      </c>
      <c r="K12" s="83">
        <f>SUMIF('Технологическая карта 1'!$C$114:$C$123,$A12,'Технологическая карта 1'!BX$114:BX$123)</f>
        <v>0</v>
      </c>
      <c r="L12" s="83">
        <f>SUMIF('Технологическая карта 1'!$C$114:$C$123,$A12,'Технологическая карта 1'!CF$114:CF$123)</f>
        <v>0</v>
      </c>
      <c r="M12" s="83">
        <f>SUMIF('Технологическая карта 1'!$C$114:$C$123,$A12,'Технологическая карта 1'!CN$114:CN$123)</f>
        <v>0</v>
      </c>
      <c r="N12" s="83">
        <f>SUMIF('Технологическая карта 1'!$C$114:$C$123,$A12,'Технологическая карта 1'!CV$114:CV$123)</f>
        <v>0</v>
      </c>
      <c r="O12" s="194">
        <f t="shared" si="0"/>
        <v>0</v>
      </c>
    </row>
    <row r="13" spans="1:15" ht="10.5">
      <c r="A13" s="16" t="s">
        <v>410</v>
      </c>
      <c r="B13" s="131"/>
      <c r="C13" s="83">
        <f>SUMIF('Технологическая карта 1'!$C$114:$C$123,$A13,'Технологическая карта 1'!L$114:L$123)</f>
        <v>0</v>
      </c>
      <c r="D13" s="83">
        <f>SUMIF('Технологическая карта 1'!$C$114:$C$123,$A13,'Технологическая карта 1'!T$114:T$123)</f>
        <v>0</v>
      </c>
      <c r="E13" s="83">
        <f>SUMIF('Технологическая карта 1'!$C$114:$C$123,$A13,'Технологическая карта 1'!AB$114:AB$123)</f>
        <v>0</v>
      </c>
      <c r="F13" s="83">
        <f>SUMIF('Технологическая карта 1'!$C$114:$C$123,$A13,'Технологическая карта 1'!AJ$114:AJ$123)</f>
        <v>0</v>
      </c>
      <c r="G13" s="83">
        <f>SUMIF('Технологическая карта 1'!$C$114:$C$123,$A13,'Технологическая карта 1'!AR$114:AR$123)</f>
        <v>0</v>
      </c>
      <c r="H13" s="83">
        <f>SUMIF('Технологическая карта 1'!$C$114:$C$123,$A13,'Технологическая карта 1'!AZ$114:AZ$123)</f>
        <v>0</v>
      </c>
      <c r="I13" s="83">
        <f>SUMIF('Технологическая карта 1'!$C$114:$C$123,$A13,'Технологическая карта 1'!BH$114:BH$123)</f>
        <v>0</v>
      </c>
      <c r="J13" s="83">
        <f>SUMIF('Технологическая карта 1'!$C$114:$C$123,$A13,'Технологическая карта 1'!BP$114:BP$123)</f>
        <v>0</v>
      </c>
      <c r="K13" s="83">
        <f>SUMIF('Технологическая карта 1'!$C$114:$C$123,$A13,'Технологическая карта 1'!BX$114:BX$123)</f>
        <v>0</v>
      </c>
      <c r="L13" s="83">
        <f>SUMIF('Технологическая карта 1'!$C$114:$C$123,$A13,'Технологическая карта 1'!CF$114:CF$123)</f>
        <v>0</v>
      </c>
      <c r="M13" s="83">
        <f>SUMIF('Технологическая карта 1'!$C$114:$C$123,$A13,'Технологическая карта 1'!CN$114:CN$123)</f>
        <v>0</v>
      </c>
      <c r="N13" s="83">
        <f>SUMIF('Технологическая карта 1'!$C$114:$C$123,$A13,'Технологическая карта 1'!CV$114:CV$123)</f>
        <v>0</v>
      </c>
      <c r="O13" s="194">
        <f t="shared" si="0"/>
        <v>0</v>
      </c>
    </row>
    <row r="14" spans="1:15" ht="10.5">
      <c r="A14" s="421" t="s">
        <v>64</v>
      </c>
      <c r="B14" s="310"/>
      <c r="C14" s="330" t="s">
        <v>342</v>
      </c>
      <c r="D14" s="330" t="s">
        <v>342</v>
      </c>
      <c r="E14" s="330" t="s">
        <v>342</v>
      </c>
      <c r="F14" s="330" t="s">
        <v>342</v>
      </c>
      <c r="G14" s="330" t="s">
        <v>342</v>
      </c>
      <c r="H14" s="330" t="s">
        <v>342</v>
      </c>
      <c r="I14" s="330" t="s">
        <v>342</v>
      </c>
      <c r="J14" s="330" t="s">
        <v>342</v>
      </c>
      <c r="K14" s="330" t="s">
        <v>342</v>
      </c>
      <c r="L14" s="330" t="s">
        <v>342</v>
      </c>
      <c r="M14" s="330" t="s">
        <v>342</v>
      </c>
      <c r="N14" s="330" t="s">
        <v>342</v>
      </c>
      <c r="O14" s="332" t="s">
        <v>342</v>
      </c>
    </row>
    <row r="15" spans="1:15" ht="10.5">
      <c r="A15" s="422"/>
      <c r="B15" s="90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6"/>
    </row>
    <row r="16" spans="1:15" s="34" customFormat="1" ht="10.5">
      <c r="A16" s="321" t="s">
        <v>163</v>
      </c>
      <c r="B16" s="337"/>
      <c r="C16" s="308">
        <f>SUM(C5:C14)</f>
        <v>0</v>
      </c>
      <c r="D16" s="308">
        <f aca="true" t="shared" si="1" ref="D16:N16">SUM(D5:D14)</f>
        <v>0</v>
      </c>
      <c r="E16" s="308">
        <f t="shared" si="1"/>
        <v>0</v>
      </c>
      <c r="F16" s="308">
        <f t="shared" si="1"/>
        <v>0</v>
      </c>
      <c r="G16" s="308">
        <f t="shared" si="1"/>
        <v>0</v>
      </c>
      <c r="H16" s="308">
        <f t="shared" si="1"/>
        <v>0</v>
      </c>
      <c r="I16" s="308">
        <f t="shared" si="1"/>
        <v>0</v>
      </c>
      <c r="J16" s="308">
        <f t="shared" si="1"/>
        <v>0</v>
      </c>
      <c r="K16" s="308">
        <f t="shared" si="1"/>
        <v>0</v>
      </c>
      <c r="L16" s="308">
        <f t="shared" si="1"/>
        <v>0</v>
      </c>
      <c r="M16" s="308">
        <f t="shared" si="1"/>
        <v>0</v>
      </c>
      <c r="N16" s="308">
        <f t="shared" si="1"/>
        <v>0</v>
      </c>
      <c r="O16" s="140">
        <f>SUM(C16:N16)</f>
        <v>0</v>
      </c>
    </row>
    <row r="17" spans="1:15" ht="10.5">
      <c r="A17" s="90"/>
      <c r="B17" s="90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00"/>
    </row>
    <row r="18" spans="1:15" ht="13.5" thickBot="1">
      <c r="A18" s="77" t="s">
        <v>325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79"/>
    </row>
    <row r="19" spans="1:15" ht="21">
      <c r="A19" s="55" t="s">
        <v>90</v>
      </c>
      <c r="B19" s="55"/>
      <c r="C19" s="56">
        <v>39448</v>
      </c>
      <c r="D19" s="56">
        <v>39479</v>
      </c>
      <c r="E19" s="56">
        <v>39508</v>
      </c>
      <c r="F19" s="56">
        <v>39539</v>
      </c>
      <c r="G19" s="56">
        <v>39569</v>
      </c>
      <c r="H19" s="56">
        <v>39600</v>
      </c>
      <c r="I19" s="56">
        <v>39630</v>
      </c>
      <c r="J19" s="56">
        <v>39661</v>
      </c>
      <c r="K19" s="56">
        <v>39692</v>
      </c>
      <c r="L19" s="56">
        <v>39722</v>
      </c>
      <c r="M19" s="56">
        <v>39753</v>
      </c>
      <c r="N19" s="56">
        <v>39783</v>
      </c>
      <c r="O19" s="340" t="s">
        <v>67</v>
      </c>
    </row>
    <row r="20" spans="1:15" ht="10.5">
      <c r="A20" s="16" t="s">
        <v>402</v>
      </c>
      <c r="B20" s="165"/>
      <c r="C20" s="83">
        <f>C5-Оборачиваемость!B50+Оборачиваемость!C50</f>
        <v>0</v>
      </c>
      <c r="D20" s="83">
        <f>D5-Оборачиваемость!C50+Оборачиваемость!D50</f>
        <v>0</v>
      </c>
      <c r="E20" s="83">
        <f>E5-Оборачиваемость!D50+Оборачиваемость!E50</f>
        <v>0</v>
      </c>
      <c r="F20" s="83">
        <f>F5-Оборачиваемость!E50+Оборачиваемость!F50</f>
        <v>0</v>
      </c>
      <c r="G20" s="83">
        <f>G5-Оборачиваемость!F50+Оборачиваемость!G50</f>
        <v>0</v>
      </c>
      <c r="H20" s="83">
        <f>H5-Оборачиваемость!G50+Оборачиваемость!H50</f>
        <v>0</v>
      </c>
      <c r="I20" s="83">
        <f>I5-Оборачиваемость!H50+Оборачиваемость!I50</f>
        <v>0</v>
      </c>
      <c r="J20" s="83">
        <f>J5-Оборачиваемость!I50+Оборачиваемость!J50</f>
        <v>0</v>
      </c>
      <c r="K20" s="83">
        <f>K5-Оборачиваемость!J50+Оборачиваемость!K50</f>
        <v>0</v>
      </c>
      <c r="L20" s="83">
        <f>L5-Оборачиваемость!K50+Оборачиваемость!L50</f>
        <v>0</v>
      </c>
      <c r="M20" s="83">
        <f>M5-Оборачиваемость!L50+Оборачиваемость!M50</f>
        <v>0</v>
      </c>
      <c r="N20" s="83">
        <f>N5-Оборачиваемость!M50+Оборачиваемость!N50</f>
        <v>0</v>
      </c>
      <c r="O20" s="192">
        <f>SUM(C20:N20)</f>
        <v>0</v>
      </c>
    </row>
    <row r="21" spans="1:15" ht="10.5">
      <c r="A21" s="16" t="s">
        <v>403</v>
      </c>
      <c r="B21" s="165"/>
      <c r="C21" s="83">
        <f>C6-Оборачиваемость!B51+Оборачиваемость!C51</f>
        <v>0</v>
      </c>
      <c r="D21" s="83">
        <f>D6-Оборачиваемость!C51+Оборачиваемость!D51</f>
        <v>0</v>
      </c>
      <c r="E21" s="83">
        <f>E6-Оборачиваемость!D51+Оборачиваемость!E51</f>
        <v>0</v>
      </c>
      <c r="F21" s="83">
        <f>F6-Оборачиваемость!E51+Оборачиваемость!F51</f>
        <v>0</v>
      </c>
      <c r="G21" s="83">
        <f>G6-Оборачиваемость!F51+Оборачиваемость!G51</f>
        <v>0</v>
      </c>
      <c r="H21" s="83">
        <f>H6-Оборачиваемость!G51+Оборачиваемость!H51</f>
        <v>0</v>
      </c>
      <c r="I21" s="83">
        <f>I6-Оборачиваемость!H51+Оборачиваемость!I51</f>
        <v>0</v>
      </c>
      <c r="J21" s="83">
        <f>J6-Оборачиваемость!I51+Оборачиваемость!J51</f>
        <v>0</v>
      </c>
      <c r="K21" s="83">
        <f>K6-Оборачиваемость!J51+Оборачиваемость!K51</f>
        <v>0</v>
      </c>
      <c r="L21" s="83">
        <f>L6-Оборачиваемость!K51+Оборачиваемость!L51</f>
        <v>0</v>
      </c>
      <c r="M21" s="83">
        <f>M6-Оборачиваемость!L51+Оборачиваемость!M51</f>
        <v>0</v>
      </c>
      <c r="N21" s="83">
        <f>N6-Оборачиваемость!M51+Оборачиваемость!N51</f>
        <v>0</v>
      </c>
      <c r="O21" s="194">
        <f aca="true" t="shared" si="2" ref="O21:O28">SUM(C21:N21)</f>
        <v>0</v>
      </c>
    </row>
    <row r="22" spans="1:15" ht="10.5">
      <c r="A22" s="16" t="s">
        <v>404</v>
      </c>
      <c r="B22" s="165"/>
      <c r="C22" s="83">
        <f>C7-Оборачиваемость!B52+Оборачиваемость!C52</f>
        <v>0</v>
      </c>
      <c r="D22" s="83">
        <f>D7-Оборачиваемость!C52+Оборачиваемость!D52</f>
        <v>0</v>
      </c>
      <c r="E22" s="83">
        <f>E7-Оборачиваемость!D52+Оборачиваемость!E52</f>
        <v>0</v>
      </c>
      <c r="F22" s="83">
        <f>F7-Оборачиваемость!E52+Оборачиваемость!F52</f>
        <v>0</v>
      </c>
      <c r="G22" s="83">
        <f>G7-Оборачиваемость!F52+Оборачиваемость!G52</f>
        <v>0</v>
      </c>
      <c r="H22" s="83">
        <f>H7-Оборачиваемость!G52+Оборачиваемость!H52</f>
        <v>0</v>
      </c>
      <c r="I22" s="83">
        <f>I7-Оборачиваемость!H52+Оборачиваемость!I52</f>
        <v>0</v>
      </c>
      <c r="J22" s="83">
        <f>J7-Оборачиваемость!I52+Оборачиваемость!J52</f>
        <v>0</v>
      </c>
      <c r="K22" s="83">
        <f>K7-Оборачиваемость!J52+Оборачиваемость!K52</f>
        <v>0</v>
      </c>
      <c r="L22" s="83">
        <f>L7-Оборачиваемость!K52+Оборачиваемость!L52</f>
        <v>0</v>
      </c>
      <c r="M22" s="83">
        <f>M7-Оборачиваемость!L52+Оборачиваемость!M52</f>
        <v>0</v>
      </c>
      <c r="N22" s="83">
        <f>N7-Оборачиваемость!M52+Оборачиваемость!N52</f>
        <v>0</v>
      </c>
      <c r="O22" s="194">
        <f t="shared" si="2"/>
        <v>0</v>
      </c>
    </row>
    <row r="23" spans="1:15" ht="10.5">
      <c r="A23" s="16" t="s">
        <v>405</v>
      </c>
      <c r="B23" s="165"/>
      <c r="C23" s="83">
        <f>C8-Оборачиваемость!B53+Оборачиваемость!C53</f>
        <v>0</v>
      </c>
      <c r="D23" s="83">
        <f>D8-Оборачиваемость!C53+Оборачиваемость!D53</f>
        <v>0</v>
      </c>
      <c r="E23" s="83">
        <f>E8-Оборачиваемость!D53+Оборачиваемость!E53</f>
        <v>0</v>
      </c>
      <c r="F23" s="83">
        <f>F8-Оборачиваемость!E53+Оборачиваемость!F53</f>
        <v>0</v>
      </c>
      <c r="G23" s="83">
        <f>G8-Оборачиваемость!F53+Оборачиваемость!G53</f>
        <v>0</v>
      </c>
      <c r="H23" s="83">
        <f>H8-Оборачиваемость!G53+Оборачиваемость!H53</f>
        <v>0</v>
      </c>
      <c r="I23" s="83">
        <f>I8-Оборачиваемость!H53+Оборачиваемость!I53</f>
        <v>0</v>
      </c>
      <c r="J23" s="83">
        <f>J8-Оборачиваемость!I53+Оборачиваемость!J53</f>
        <v>0</v>
      </c>
      <c r="K23" s="83">
        <f>K8-Оборачиваемость!J53+Оборачиваемость!K53</f>
        <v>0</v>
      </c>
      <c r="L23" s="83">
        <f>L8-Оборачиваемость!K53+Оборачиваемость!L53</f>
        <v>0</v>
      </c>
      <c r="M23" s="83">
        <f>M8-Оборачиваемость!L53+Оборачиваемость!M53</f>
        <v>0</v>
      </c>
      <c r="N23" s="83">
        <f>N8-Оборачиваемость!M53+Оборачиваемость!N53</f>
        <v>0</v>
      </c>
      <c r="O23" s="194">
        <f t="shared" si="2"/>
        <v>0</v>
      </c>
    </row>
    <row r="24" spans="1:15" ht="10.5">
      <c r="A24" s="16" t="s">
        <v>406</v>
      </c>
      <c r="B24" s="165"/>
      <c r="C24" s="83">
        <f>C9-Оборачиваемость!B54+Оборачиваемость!C54</f>
        <v>0</v>
      </c>
      <c r="D24" s="83">
        <f>D9-Оборачиваемость!C54+Оборачиваемость!D54</f>
        <v>0</v>
      </c>
      <c r="E24" s="83">
        <f>E9-Оборачиваемость!D54+Оборачиваемость!E54</f>
        <v>0</v>
      </c>
      <c r="F24" s="83">
        <f>F9-Оборачиваемость!E54+Оборачиваемость!F54</f>
        <v>0</v>
      </c>
      <c r="G24" s="83">
        <f>G9-Оборачиваемость!F54+Оборачиваемость!G54</f>
        <v>0</v>
      </c>
      <c r="H24" s="83">
        <f>H9-Оборачиваемость!G54+Оборачиваемость!H54</f>
        <v>0</v>
      </c>
      <c r="I24" s="83">
        <f>I9-Оборачиваемость!H54+Оборачиваемость!I54</f>
        <v>0</v>
      </c>
      <c r="J24" s="83">
        <f>J9-Оборачиваемость!I54+Оборачиваемость!J54</f>
        <v>0</v>
      </c>
      <c r="K24" s="83">
        <f>K9-Оборачиваемость!J54+Оборачиваемость!K54</f>
        <v>0</v>
      </c>
      <c r="L24" s="83">
        <f>L9-Оборачиваемость!K54+Оборачиваемость!L54</f>
        <v>0</v>
      </c>
      <c r="M24" s="83">
        <f>M9-Оборачиваемость!L54+Оборачиваемость!M54</f>
        <v>0</v>
      </c>
      <c r="N24" s="83">
        <f>N9-Оборачиваемость!M54+Оборачиваемость!N54</f>
        <v>0</v>
      </c>
      <c r="O24" s="194">
        <f t="shared" si="2"/>
        <v>0</v>
      </c>
    </row>
    <row r="25" spans="1:15" ht="10.5">
      <c r="A25" s="16" t="s">
        <v>407</v>
      </c>
      <c r="B25" s="165"/>
      <c r="C25" s="83">
        <f>C10-Оборачиваемость!B55+Оборачиваемость!C55</f>
        <v>0</v>
      </c>
      <c r="D25" s="83">
        <f>D10-Оборачиваемость!C55+Оборачиваемость!D55</f>
        <v>0</v>
      </c>
      <c r="E25" s="83">
        <f>E10-Оборачиваемость!D55+Оборачиваемость!E55</f>
        <v>0</v>
      </c>
      <c r="F25" s="83">
        <f>F10-Оборачиваемость!E55+Оборачиваемость!F55</f>
        <v>0</v>
      </c>
      <c r="G25" s="83">
        <f>G10-Оборачиваемость!F55+Оборачиваемость!G55</f>
        <v>0</v>
      </c>
      <c r="H25" s="83">
        <f>H10-Оборачиваемость!G55+Оборачиваемость!H55</f>
        <v>0</v>
      </c>
      <c r="I25" s="83">
        <f>I10-Оборачиваемость!H55+Оборачиваемость!I55</f>
        <v>0</v>
      </c>
      <c r="J25" s="83">
        <f>J10-Оборачиваемость!I55+Оборачиваемость!J55</f>
        <v>0</v>
      </c>
      <c r="K25" s="83">
        <f>K10-Оборачиваемость!J55+Оборачиваемость!K55</f>
        <v>0</v>
      </c>
      <c r="L25" s="83">
        <f>L10-Оборачиваемость!K55+Оборачиваемость!L55</f>
        <v>0</v>
      </c>
      <c r="M25" s="83">
        <f>M10-Оборачиваемость!L55+Оборачиваемость!M55</f>
        <v>0</v>
      </c>
      <c r="N25" s="83">
        <f>N10-Оборачиваемость!M55+Оборачиваемость!N55</f>
        <v>0</v>
      </c>
      <c r="O25" s="194">
        <f t="shared" si="2"/>
        <v>0</v>
      </c>
    </row>
    <row r="26" spans="1:15" ht="10.5">
      <c r="A26" s="16" t="s">
        <v>408</v>
      </c>
      <c r="B26" s="165"/>
      <c r="C26" s="83">
        <f>C11-Оборачиваемость!B56+Оборачиваемость!C56</f>
        <v>0</v>
      </c>
      <c r="D26" s="83">
        <f>D11-Оборачиваемость!C56+Оборачиваемость!D56</f>
        <v>0</v>
      </c>
      <c r="E26" s="83">
        <f>E11-Оборачиваемость!D56+Оборачиваемость!E56</f>
        <v>0</v>
      </c>
      <c r="F26" s="83">
        <f>F11-Оборачиваемость!E56+Оборачиваемость!F56</f>
        <v>0</v>
      </c>
      <c r="G26" s="83">
        <f>G11-Оборачиваемость!F56+Оборачиваемость!G56</f>
        <v>0</v>
      </c>
      <c r="H26" s="83">
        <f>H11-Оборачиваемость!G56+Оборачиваемость!H56</f>
        <v>0</v>
      </c>
      <c r="I26" s="83">
        <f>I11-Оборачиваемость!H56+Оборачиваемость!I56</f>
        <v>0</v>
      </c>
      <c r="J26" s="83">
        <f>J11-Оборачиваемость!I56+Оборачиваемость!J56</f>
        <v>0</v>
      </c>
      <c r="K26" s="83">
        <f>K11-Оборачиваемость!J56+Оборачиваемость!K56</f>
        <v>0</v>
      </c>
      <c r="L26" s="83">
        <f>L11-Оборачиваемость!K56+Оборачиваемость!L56</f>
        <v>0</v>
      </c>
      <c r="M26" s="83">
        <f>M11-Оборачиваемость!L56+Оборачиваемость!M56</f>
        <v>0</v>
      </c>
      <c r="N26" s="83">
        <f>N11-Оборачиваемость!M56+Оборачиваемость!N56</f>
        <v>0</v>
      </c>
      <c r="O26" s="194">
        <f t="shared" si="2"/>
        <v>0</v>
      </c>
    </row>
    <row r="27" spans="1:15" ht="10.5">
      <c r="A27" s="16" t="s">
        <v>409</v>
      </c>
      <c r="B27" s="165"/>
      <c r="C27" s="83">
        <f>C12-Оборачиваемость!B57+Оборачиваемость!C57</f>
        <v>0</v>
      </c>
      <c r="D27" s="83">
        <f>D12-Оборачиваемость!C57+Оборачиваемость!D57</f>
        <v>0</v>
      </c>
      <c r="E27" s="83">
        <f>E12-Оборачиваемость!D57+Оборачиваемость!E57</f>
        <v>0</v>
      </c>
      <c r="F27" s="83">
        <f>F12-Оборачиваемость!E57+Оборачиваемость!F57</f>
        <v>0</v>
      </c>
      <c r="G27" s="83">
        <f>G12-Оборачиваемость!F57+Оборачиваемость!G57</f>
        <v>0</v>
      </c>
      <c r="H27" s="83">
        <f>H12-Оборачиваемость!G57+Оборачиваемость!H57</f>
        <v>0</v>
      </c>
      <c r="I27" s="83">
        <f>I12-Оборачиваемость!H57+Оборачиваемость!I57</f>
        <v>0</v>
      </c>
      <c r="J27" s="83">
        <f>J12-Оборачиваемость!I57+Оборачиваемость!J57</f>
        <v>0</v>
      </c>
      <c r="K27" s="83">
        <f>K12-Оборачиваемость!J57+Оборачиваемость!K57</f>
        <v>0</v>
      </c>
      <c r="L27" s="83">
        <f>L12-Оборачиваемость!K57+Оборачиваемость!L57</f>
        <v>0</v>
      </c>
      <c r="M27" s="83">
        <f>M12-Оборачиваемость!L57+Оборачиваемость!M57</f>
        <v>0</v>
      </c>
      <c r="N27" s="83">
        <f>N12-Оборачиваемость!M57+Оборачиваемость!N57</f>
        <v>0</v>
      </c>
      <c r="O27" s="194">
        <f t="shared" si="2"/>
        <v>0</v>
      </c>
    </row>
    <row r="28" spans="1:15" ht="10.5">
      <c r="A28" s="16" t="s">
        <v>410</v>
      </c>
      <c r="B28" s="165"/>
      <c r="C28" s="83">
        <f>C13-Оборачиваемость!B58+Оборачиваемость!C58</f>
        <v>0</v>
      </c>
      <c r="D28" s="83">
        <f>D13-Оборачиваемость!C58+Оборачиваемость!D58</f>
        <v>0</v>
      </c>
      <c r="E28" s="83">
        <f>E13-Оборачиваемость!D58+Оборачиваемость!E58</f>
        <v>0</v>
      </c>
      <c r="F28" s="83">
        <f>F13-Оборачиваемость!E58+Оборачиваемость!F58</f>
        <v>0</v>
      </c>
      <c r="G28" s="83">
        <f>G13-Оборачиваемость!F58+Оборачиваемость!G58</f>
        <v>0</v>
      </c>
      <c r="H28" s="83">
        <f>H13-Оборачиваемость!G58+Оборачиваемость!H58</f>
        <v>0</v>
      </c>
      <c r="I28" s="83">
        <f>I13-Оборачиваемость!H58+Оборачиваемость!I58</f>
        <v>0</v>
      </c>
      <c r="J28" s="83">
        <f>J13-Оборачиваемость!I58+Оборачиваемость!J58</f>
        <v>0</v>
      </c>
      <c r="K28" s="83">
        <f>K13-Оборачиваемость!J58+Оборачиваемость!K58</f>
        <v>0</v>
      </c>
      <c r="L28" s="83">
        <f>L13-Оборачиваемость!K58+Оборачиваемость!L58</f>
        <v>0</v>
      </c>
      <c r="M28" s="83">
        <f>M13-Оборачиваемость!L58+Оборачиваемость!M58</f>
        <v>0</v>
      </c>
      <c r="N28" s="83">
        <f>N13-Оборачиваемость!M58+Оборачиваемость!N58</f>
        <v>0</v>
      </c>
      <c r="O28" s="194">
        <f t="shared" si="2"/>
        <v>0</v>
      </c>
    </row>
    <row r="29" spans="1:15" ht="10.5">
      <c r="A29" s="419" t="s">
        <v>64</v>
      </c>
      <c r="B29" s="90"/>
      <c r="C29" s="324" t="s">
        <v>342</v>
      </c>
      <c r="D29" s="324" t="s">
        <v>342</v>
      </c>
      <c r="E29" s="324" t="s">
        <v>342</v>
      </c>
      <c r="F29" s="324" t="s">
        <v>342</v>
      </c>
      <c r="G29" s="324" t="s">
        <v>342</v>
      </c>
      <c r="H29" s="324" t="s">
        <v>342</v>
      </c>
      <c r="I29" s="324" t="s">
        <v>342</v>
      </c>
      <c r="J29" s="324" t="s">
        <v>342</v>
      </c>
      <c r="K29" s="324" t="s">
        <v>342</v>
      </c>
      <c r="L29" s="324" t="s">
        <v>342</v>
      </c>
      <c r="M29" s="324" t="s">
        <v>342</v>
      </c>
      <c r="N29" s="325" t="s">
        <v>342</v>
      </c>
      <c r="O29" s="418" t="s">
        <v>342</v>
      </c>
    </row>
    <row r="30" spans="1:15" ht="10.5">
      <c r="A30" s="402"/>
      <c r="B30" s="90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417"/>
    </row>
    <row r="31" spans="1:15" s="34" customFormat="1" ht="10.5">
      <c r="A31" s="321" t="s">
        <v>163</v>
      </c>
      <c r="B31" s="337"/>
      <c r="C31" s="308">
        <f>SUM(C20:C29)</f>
        <v>0</v>
      </c>
      <c r="D31" s="308">
        <f aca="true" t="shared" si="3" ref="D31:N31">SUM(D20:D29)</f>
        <v>0</v>
      </c>
      <c r="E31" s="308">
        <f t="shared" si="3"/>
        <v>0</v>
      </c>
      <c r="F31" s="308">
        <f t="shared" si="3"/>
        <v>0</v>
      </c>
      <c r="G31" s="308">
        <f t="shared" si="3"/>
        <v>0</v>
      </c>
      <c r="H31" s="308">
        <f t="shared" si="3"/>
        <v>0</v>
      </c>
      <c r="I31" s="308">
        <f t="shared" si="3"/>
        <v>0</v>
      </c>
      <c r="J31" s="308">
        <f t="shared" si="3"/>
        <v>0</v>
      </c>
      <c r="K31" s="308">
        <f t="shared" si="3"/>
        <v>0</v>
      </c>
      <c r="L31" s="308">
        <f t="shared" si="3"/>
        <v>0</v>
      </c>
      <c r="M31" s="308">
        <f t="shared" si="3"/>
        <v>0</v>
      </c>
      <c r="N31" s="308">
        <f t="shared" si="3"/>
        <v>0</v>
      </c>
      <c r="O31" s="140">
        <f>SUM(C31:N31)</f>
        <v>0</v>
      </c>
    </row>
    <row r="33" spans="1:14" ht="13.5" thickBot="1">
      <c r="A33" s="77" t="s">
        <v>93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00"/>
    </row>
    <row r="34" spans="1:14" ht="21">
      <c r="A34" s="55" t="s">
        <v>69</v>
      </c>
      <c r="B34" s="55" t="s">
        <v>326</v>
      </c>
      <c r="C34" s="56">
        <v>39448</v>
      </c>
      <c r="D34" s="56">
        <v>39479</v>
      </c>
      <c r="E34" s="56">
        <v>39508</v>
      </c>
      <c r="F34" s="56">
        <v>39539</v>
      </c>
      <c r="G34" s="56">
        <v>39569</v>
      </c>
      <c r="H34" s="56">
        <v>39600</v>
      </c>
      <c r="I34" s="56">
        <v>39630</v>
      </c>
      <c r="J34" s="56">
        <v>39661</v>
      </c>
      <c r="K34" s="56">
        <v>39692</v>
      </c>
      <c r="L34" s="56">
        <v>39722</v>
      </c>
      <c r="M34" s="56">
        <v>39753</v>
      </c>
      <c r="N34" s="56">
        <v>39783</v>
      </c>
    </row>
    <row r="35" spans="1:14" ht="10.5">
      <c r="A35" s="16" t="s">
        <v>402</v>
      </c>
      <c r="B35" s="342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4"/>
    </row>
    <row r="36" spans="1:14" ht="10.5">
      <c r="A36" s="16" t="s">
        <v>403</v>
      </c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345"/>
    </row>
    <row r="37" spans="1:14" ht="10.5">
      <c r="A37" s="16" t="s">
        <v>404</v>
      </c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345"/>
    </row>
    <row r="38" spans="1:14" ht="10.5">
      <c r="A38" s="16" t="s">
        <v>405</v>
      </c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345"/>
    </row>
    <row r="39" spans="1:14" ht="10.5">
      <c r="A39" s="16" t="s">
        <v>406</v>
      </c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345"/>
    </row>
    <row r="40" spans="1:14" ht="10.5">
      <c r="A40" s="16" t="s">
        <v>407</v>
      </c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345"/>
    </row>
    <row r="41" spans="1:14" ht="10.5">
      <c r="A41" s="16" t="s">
        <v>408</v>
      </c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345"/>
    </row>
    <row r="42" spans="1:14" ht="10.5">
      <c r="A42" s="16" t="s">
        <v>409</v>
      </c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345"/>
    </row>
    <row r="43" spans="1:14" ht="10.5">
      <c r="A43" s="16" t="s">
        <v>410</v>
      </c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345"/>
    </row>
    <row r="44" spans="1:14" s="95" customFormat="1" ht="12.75">
      <c r="A44" s="439" t="s">
        <v>64</v>
      </c>
      <c r="B44" s="440" t="s">
        <v>342</v>
      </c>
      <c r="C44" s="440" t="s">
        <v>342</v>
      </c>
      <c r="D44" s="440" t="s">
        <v>342</v>
      </c>
      <c r="E44" s="440" t="s">
        <v>342</v>
      </c>
      <c r="F44" s="440" t="s">
        <v>342</v>
      </c>
      <c r="G44" s="440" t="s">
        <v>342</v>
      </c>
      <c r="H44" s="440" t="s">
        <v>342</v>
      </c>
      <c r="I44" s="440" t="s">
        <v>342</v>
      </c>
      <c r="J44" s="440" t="s">
        <v>342</v>
      </c>
      <c r="K44" s="440" t="s">
        <v>342</v>
      </c>
      <c r="L44" s="440" t="s">
        <v>342</v>
      </c>
      <c r="M44" s="440" t="s">
        <v>342</v>
      </c>
      <c r="N44" s="441" t="s">
        <v>342</v>
      </c>
    </row>
    <row r="46" spans="1:14" ht="13.5" thickBot="1">
      <c r="A46" s="77" t="s">
        <v>327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100"/>
    </row>
    <row r="47" spans="1:14" ht="10.5">
      <c r="A47" s="55" t="s">
        <v>69</v>
      </c>
      <c r="B47" s="55" t="s">
        <v>94</v>
      </c>
      <c r="C47" s="56">
        <v>39448</v>
      </c>
      <c r="D47" s="56">
        <v>39479</v>
      </c>
      <c r="E47" s="56">
        <v>39508</v>
      </c>
      <c r="F47" s="56">
        <v>39539</v>
      </c>
      <c r="G47" s="56">
        <v>39569</v>
      </c>
      <c r="H47" s="56">
        <v>39600</v>
      </c>
      <c r="I47" s="56">
        <v>39630</v>
      </c>
      <c r="J47" s="56">
        <v>39661</v>
      </c>
      <c r="K47" s="56">
        <v>39692</v>
      </c>
      <c r="L47" s="56">
        <v>39722</v>
      </c>
      <c r="M47" s="56">
        <v>39753</v>
      </c>
      <c r="N47" s="56">
        <v>39783</v>
      </c>
    </row>
    <row r="48" spans="1:14" ht="10.5">
      <c r="A48" s="16" t="s">
        <v>402</v>
      </c>
      <c r="B48" s="428">
        <f aca="true" t="shared" si="4" ref="B48:B56">B35</f>
        <v>0</v>
      </c>
      <c r="C48" s="167">
        <f aca="true" t="shared" si="5" ref="C48:C56">$B35*C35</f>
        <v>0</v>
      </c>
      <c r="D48" s="167">
        <f aca="true" t="shared" si="6" ref="D48:N48">$B35*D35</f>
        <v>0</v>
      </c>
      <c r="E48" s="167">
        <f t="shared" si="6"/>
        <v>0</v>
      </c>
      <c r="F48" s="167">
        <f t="shared" si="6"/>
        <v>0</v>
      </c>
      <c r="G48" s="167">
        <f t="shared" si="6"/>
        <v>0</v>
      </c>
      <c r="H48" s="167">
        <f t="shared" si="6"/>
        <v>0</v>
      </c>
      <c r="I48" s="167">
        <f t="shared" si="6"/>
        <v>0</v>
      </c>
      <c r="J48" s="167">
        <f t="shared" si="6"/>
        <v>0</v>
      </c>
      <c r="K48" s="167">
        <f t="shared" si="6"/>
        <v>0</v>
      </c>
      <c r="L48" s="167">
        <f t="shared" si="6"/>
        <v>0</v>
      </c>
      <c r="M48" s="167">
        <f t="shared" si="6"/>
        <v>0</v>
      </c>
      <c r="N48" s="167">
        <f t="shared" si="6"/>
        <v>0</v>
      </c>
    </row>
    <row r="49" spans="1:14" ht="10.5">
      <c r="A49" s="16" t="s">
        <v>403</v>
      </c>
      <c r="B49" s="166">
        <f t="shared" si="4"/>
        <v>0</v>
      </c>
      <c r="C49" s="167">
        <f t="shared" si="5"/>
        <v>0</v>
      </c>
      <c r="D49" s="167">
        <f aca="true" t="shared" si="7" ref="D49:N49">$B36*D36</f>
        <v>0</v>
      </c>
      <c r="E49" s="167">
        <f t="shared" si="7"/>
        <v>0</v>
      </c>
      <c r="F49" s="167">
        <f t="shared" si="7"/>
        <v>0</v>
      </c>
      <c r="G49" s="167">
        <f t="shared" si="7"/>
        <v>0</v>
      </c>
      <c r="H49" s="167">
        <f t="shared" si="7"/>
        <v>0</v>
      </c>
      <c r="I49" s="167">
        <f t="shared" si="7"/>
        <v>0</v>
      </c>
      <c r="J49" s="167">
        <f t="shared" si="7"/>
        <v>0</v>
      </c>
      <c r="K49" s="167">
        <f t="shared" si="7"/>
        <v>0</v>
      </c>
      <c r="L49" s="167">
        <f t="shared" si="7"/>
        <v>0</v>
      </c>
      <c r="M49" s="167">
        <f t="shared" si="7"/>
        <v>0</v>
      </c>
      <c r="N49" s="167">
        <f t="shared" si="7"/>
        <v>0</v>
      </c>
    </row>
    <row r="50" spans="1:14" ht="10.5">
      <c r="A50" s="16" t="s">
        <v>404</v>
      </c>
      <c r="B50" s="166">
        <f t="shared" si="4"/>
        <v>0</v>
      </c>
      <c r="C50" s="167">
        <f t="shared" si="5"/>
        <v>0</v>
      </c>
      <c r="D50" s="167">
        <f aca="true" t="shared" si="8" ref="D50:N50">$B37*D37</f>
        <v>0</v>
      </c>
      <c r="E50" s="167">
        <f t="shared" si="8"/>
        <v>0</v>
      </c>
      <c r="F50" s="167">
        <f t="shared" si="8"/>
        <v>0</v>
      </c>
      <c r="G50" s="167">
        <f t="shared" si="8"/>
        <v>0</v>
      </c>
      <c r="H50" s="167">
        <f t="shared" si="8"/>
        <v>0</v>
      </c>
      <c r="I50" s="167">
        <f t="shared" si="8"/>
        <v>0</v>
      </c>
      <c r="J50" s="167">
        <f t="shared" si="8"/>
        <v>0</v>
      </c>
      <c r="K50" s="167">
        <f t="shared" si="8"/>
        <v>0</v>
      </c>
      <c r="L50" s="167">
        <f t="shared" si="8"/>
        <v>0</v>
      </c>
      <c r="M50" s="167">
        <f t="shared" si="8"/>
        <v>0</v>
      </c>
      <c r="N50" s="167">
        <f t="shared" si="8"/>
        <v>0</v>
      </c>
    </row>
    <row r="51" spans="1:14" ht="10.5">
      <c r="A51" s="16" t="s">
        <v>405</v>
      </c>
      <c r="B51" s="166">
        <f t="shared" si="4"/>
        <v>0</v>
      </c>
      <c r="C51" s="167">
        <f t="shared" si="5"/>
        <v>0</v>
      </c>
      <c r="D51" s="167">
        <f aca="true" t="shared" si="9" ref="D51:N51">$B38*D38</f>
        <v>0</v>
      </c>
      <c r="E51" s="167">
        <f t="shared" si="9"/>
        <v>0</v>
      </c>
      <c r="F51" s="167">
        <f t="shared" si="9"/>
        <v>0</v>
      </c>
      <c r="G51" s="167">
        <f t="shared" si="9"/>
        <v>0</v>
      </c>
      <c r="H51" s="167">
        <f t="shared" si="9"/>
        <v>0</v>
      </c>
      <c r="I51" s="167">
        <f t="shared" si="9"/>
        <v>0</v>
      </c>
      <c r="J51" s="167">
        <f t="shared" si="9"/>
        <v>0</v>
      </c>
      <c r="K51" s="167">
        <f t="shared" si="9"/>
        <v>0</v>
      </c>
      <c r="L51" s="167">
        <f t="shared" si="9"/>
        <v>0</v>
      </c>
      <c r="M51" s="167">
        <f t="shared" si="9"/>
        <v>0</v>
      </c>
      <c r="N51" s="167">
        <f t="shared" si="9"/>
        <v>0</v>
      </c>
    </row>
    <row r="52" spans="1:14" ht="10.5">
      <c r="A52" s="16" t="s">
        <v>406</v>
      </c>
      <c r="B52" s="166">
        <f t="shared" si="4"/>
        <v>0</v>
      </c>
      <c r="C52" s="167">
        <f t="shared" si="5"/>
        <v>0</v>
      </c>
      <c r="D52" s="167">
        <f aca="true" t="shared" si="10" ref="D52:N52">$B39*D39</f>
        <v>0</v>
      </c>
      <c r="E52" s="167">
        <f t="shared" si="10"/>
        <v>0</v>
      </c>
      <c r="F52" s="167">
        <f t="shared" si="10"/>
        <v>0</v>
      </c>
      <c r="G52" s="167">
        <f t="shared" si="10"/>
        <v>0</v>
      </c>
      <c r="H52" s="167">
        <f t="shared" si="10"/>
        <v>0</v>
      </c>
      <c r="I52" s="167">
        <f t="shared" si="10"/>
        <v>0</v>
      </c>
      <c r="J52" s="167">
        <f t="shared" si="10"/>
        <v>0</v>
      </c>
      <c r="K52" s="167">
        <f t="shared" si="10"/>
        <v>0</v>
      </c>
      <c r="L52" s="167">
        <f t="shared" si="10"/>
        <v>0</v>
      </c>
      <c r="M52" s="167">
        <f t="shared" si="10"/>
        <v>0</v>
      </c>
      <c r="N52" s="167">
        <f t="shared" si="10"/>
        <v>0</v>
      </c>
    </row>
    <row r="53" spans="1:14" ht="10.5">
      <c r="A53" s="16" t="s">
        <v>407</v>
      </c>
      <c r="B53" s="166">
        <f t="shared" si="4"/>
        <v>0</v>
      </c>
      <c r="C53" s="167">
        <f t="shared" si="5"/>
        <v>0</v>
      </c>
      <c r="D53" s="167">
        <f aca="true" t="shared" si="11" ref="D53:N53">$B40*D40</f>
        <v>0</v>
      </c>
      <c r="E53" s="167">
        <f t="shared" si="11"/>
        <v>0</v>
      </c>
      <c r="F53" s="167">
        <f t="shared" si="11"/>
        <v>0</v>
      </c>
      <c r="G53" s="167">
        <f t="shared" si="11"/>
        <v>0</v>
      </c>
      <c r="H53" s="167">
        <f t="shared" si="11"/>
        <v>0</v>
      </c>
      <c r="I53" s="167">
        <f t="shared" si="11"/>
        <v>0</v>
      </c>
      <c r="J53" s="167">
        <f t="shared" si="11"/>
        <v>0</v>
      </c>
      <c r="K53" s="167">
        <f t="shared" si="11"/>
        <v>0</v>
      </c>
      <c r="L53" s="167">
        <f t="shared" si="11"/>
        <v>0</v>
      </c>
      <c r="M53" s="167">
        <f t="shared" si="11"/>
        <v>0</v>
      </c>
      <c r="N53" s="167">
        <f t="shared" si="11"/>
        <v>0</v>
      </c>
    </row>
    <row r="54" spans="1:14" ht="10.5">
      <c r="A54" s="16" t="s">
        <v>408</v>
      </c>
      <c r="B54" s="166">
        <f t="shared" si="4"/>
        <v>0</v>
      </c>
      <c r="C54" s="167">
        <f t="shared" si="5"/>
        <v>0</v>
      </c>
      <c r="D54" s="167">
        <f aca="true" t="shared" si="12" ref="D54:N54">$B41*D41</f>
        <v>0</v>
      </c>
      <c r="E54" s="167">
        <f t="shared" si="12"/>
        <v>0</v>
      </c>
      <c r="F54" s="167">
        <f t="shared" si="12"/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</row>
    <row r="55" spans="1:14" ht="10.5">
      <c r="A55" s="16" t="s">
        <v>409</v>
      </c>
      <c r="B55" s="166">
        <f t="shared" si="4"/>
        <v>0</v>
      </c>
      <c r="C55" s="167">
        <f t="shared" si="5"/>
        <v>0</v>
      </c>
      <c r="D55" s="167">
        <f aca="true" t="shared" si="13" ref="D55:N55">$B42*D42</f>
        <v>0</v>
      </c>
      <c r="E55" s="167">
        <f t="shared" si="13"/>
        <v>0</v>
      </c>
      <c r="F55" s="167">
        <f t="shared" si="13"/>
        <v>0</v>
      </c>
      <c r="G55" s="167">
        <f t="shared" si="13"/>
        <v>0</v>
      </c>
      <c r="H55" s="167">
        <f t="shared" si="13"/>
        <v>0</v>
      </c>
      <c r="I55" s="167">
        <f t="shared" si="13"/>
        <v>0</v>
      </c>
      <c r="J55" s="167">
        <f t="shared" si="13"/>
        <v>0</v>
      </c>
      <c r="K55" s="167">
        <f t="shared" si="13"/>
        <v>0</v>
      </c>
      <c r="L55" s="167">
        <f t="shared" si="13"/>
        <v>0</v>
      </c>
      <c r="M55" s="167">
        <f t="shared" si="13"/>
        <v>0</v>
      </c>
      <c r="N55" s="167">
        <f t="shared" si="13"/>
        <v>0</v>
      </c>
    </row>
    <row r="56" spans="1:14" ht="10.5">
      <c r="A56" s="16" t="s">
        <v>410</v>
      </c>
      <c r="B56" s="166">
        <f t="shared" si="4"/>
        <v>0</v>
      </c>
      <c r="C56" s="167">
        <f t="shared" si="5"/>
        <v>0</v>
      </c>
      <c r="D56" s="167">
        <f aca="true" t="shared" si="14" ref="D56:N56">$B43*D43</f>
        <v>0</v>
      </c>
      <c r="E56" s="167">
        <f t="shared" si="14"/>
        <v>0</v>
      </c>
      <c r="F56" s="167">
        <f t="shared" si="14"/>
        <v>0</v>
      </c>
      <c r="G56" s="167">
        <f t="shared" si="14"/>
        <v>0</v>
      </c>
      <c r="H56" s="167">
        <f t="shared" si="14"/>
        <v>0</v>
      </c>
      <c r="I56" s="167">
        <f t="shared" si="14"/>
        <v>0</v>
      </c>
      <c r="J56" s="167">
        <f t="shared" si="14"/>
        <v>0</v>
      </c>
      <c r="K56" s="167">
        <f t="shared" si="14"/>
        <v>0</v>
      </c>
      <c r="L56" s="167">
        <f t="shared" si="14"/>
        <v>0</v>
      </c>
      <c r="M56" s="167">
        <f t="shared" si="14"/>
        <v>0</v>
      </c>
      <c r="N56" s="167">
        <f t="shared" si="14"/>
        <v>0</v>
      </c>
    </row>
    <row r="57" spans="1:14" ht="10.5">
      <c r="A57" s="162" t="s">
        <v>64</v>
      </c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</row>
    <row r="59" spans="1:14" ht="13.5" thickBot="1">
      <c r="A59" s="77" t="s">
        <v>328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00"/>
    </row>
    <row r="60" spans="1:15" ht="10.5">
      <c r="A60" s="55" t="s">
        <v>69</v>
      </c>
      <c r="B60" s="427"/>
      <c r="C60" s="123">
        <v>39448</v>
      </c>
      <c r="D60" s="123">
        <v>39479</v>
      </c>
      <c r="E60" s="123">
        <v>39508</v>
      </c>
      <c r="F60" s="123">
        <v>39539</v>
      </c>
      <c r="G60" s="123">
        <v>39569</v>
      </c>
      <c r="H60" s="123">
        <v>39600</v>
      </c>
      <c r="I60" s="123">
        <v>39630</v>
      </c>
      <c r="J60" s="123">
        <v>39661</v>
      </c>
      <c r="K60" s="123">
        <v>39692</v>
      </c>
      <c r="L60" s="123">
        <v>39722</v>
      </c>
      <c r="M60" s="123">
        <v>39753</v>
      </c>
      <c r="N60" s="123">
        <v>39783</v>
      </c>
      <c r="O60" s="340" t="s">
        <v>67</v>
      </c>
    </row>
    <row r="61" spans="1:15" ht="10.5">
      <c r="A61" s="16" t="s">
        <v>402</v>
      </c>
      <c r="B61" s="425"/>
      <c r="C61" s="128">
        <f aca="true" t="shared" si="15" ref="C61:N61">C20*C48</f>
        <v>0</v>
      </c>
      <c r="D61" s="128">
        <f t="shared" si="15"/>
        <v>0</v>
      </c>
      <c r="E61" s="128">
        <f t="shared" si="15"/>
        <v>0</v>
      </c>
      <c r="F61" s="128">
        <f t="shared" si="15"/>
        <v>0</v>
      </c>
      <c r="G61" s="128">
        <f t="shared" si="15"/>
        <v>0</v>
      </c>
      <c r="H61" s="128">
        <f t="shared" si="15"/>
        <v>0</v>
      </c>
      <c r="I61" s="128">
        <f t="shared" si="15"/>
        <v>0</v>
      </c>
      <c r="J61" s="128">
        <f t="shared" si="15"/>
        <v>0</v>
      </c>
      <c r="K61" s="128">
        <f t="shared" si="15"/>
        <v>0</v>
      </c>
      <c r="L61" s="128">
        <f t="shared" si="15"/>
        <v>0</v>
      </c>
      <c r="M61" s="128">
        <f t="shared" si="15"/>
        <v>0</v>
      </c>
      <c r="N61" s="304">
        <f t="shared" si="15"/>
        <v>0</v>
      </c>
      <c r="O61" s="192">
        <f>SUM(C61:N61)</f>
        <v>0</v>
      </c>
    </row>
    <row r="62" spans="1:15" ht="10.5">
      <c r="A62" s="16" t="s">
        <v>403</v>
      </c>
      <c r="B62" s="426"/>
      <c r="C62" s="112">
        <f aca="true" t="shared" si="16" ref="C62:N62">C21*C49</f>
        <v>0</v>
      </c>
      <c r="D62" s="112">
        <f t="shared" si="16"/>
        <v>0</v>
      </c>
      <c r="E62" s="112">
        <f t="shared" si="16"/>
        <v>0</v>
      </c>
      <c r="F62" s="112">
        <f t="shared" si="16"/>
        <v>0</v>
      </c>
      <c r="G62" s="112">
        <f t="shared" si="16"/>
        <v>0</v>
      </c>
      <c r="H62" s="112">
        <f t="shared" si="16"/>
        <v>0</v>
      </c>
      <c r="I62" s="112">
        <f t="shared" si="16"/>
        <v>0</v>
      </c>
      <c r="J62" s="112">
        <f t="shared" si="16"/>
        <v>0</v>
      </c>
      <c r="K62" s="112">
        <f t="shared" si="16"/>
        <v>0</v>
      </c>
      <c r="L62" s="112">
        <f t="shared" si="16"/>
        <v>0</v>
      </c>
      <c r="M62" s="112">
        <f t="shared" si="16"/>
        <v>0</v>
      </c>
      <c r="N62" s="370">
        <f t="shared" si="16"/>
        <v>0</v>
      </c>
      <c r="O62" s="194">
        <f aca="true" t="shared" si="17" ref="O62:O69">SUM(C62:N62)</f>
        <v>0</v>
      </c>
    </row>
    <row r="63" spans="1:15" ht="10.5">
      <c r="A63" s="16" t="s">
        <v>404</v>
      </c>
      <c r="B63" s="426"/>
      <c r="C63" s="112">
        <f aca="true" t="shared" si="18" ref="C63:N63">C22*C50</f>
        <v>0</v>
      </c>
      <c r="D63" s="112">
        <f t="shared" si="18"/>
        <v>0</v>
      </c>
      <c r="E63" s="112">
        <f t="shared" si="18"/>
        <v>0</v>
      </c>
      <c r="F63" s="112">
        <f t="shared" si="18"/>
        <v>0</v>
      </c>
      <c r="G63" s="112">
        <f t="shared" si="18"/>
        <v>0</v>
      </c>
      <c r="H63" s="112">
        <f t="shared" si="18"/>
        <v>0</v>
      </c>
      <c r="I63" s="112">
        <f t="shared" si="18"/>
        <v>0</v>
      </c>
      <c r="J63" s="112">
        <f t="shared" si="18"/>
        <v>0</v>
      </c>
      <c r="K63" s="112">
        <f t="shared" si="18"/>
        <v>0</v>
      </c>
      <c r="L63" s="112">
        <f t="shared" si="18"/>
        <v>0</v>
      </c>
      <c r="M63" s="112">
        <f t="shared" si="18"/>
        <v>0</v>
      </c>
      <c r="N63" s="370">
        <f t="shared" si="18"/>
        <v>0</v>
      </c>
      <c r="O63" s="194">
        <f t="shared" si="17"/>
        <v>0</v>
      </c>
    </row>
    <row r="64" spans="1:15" ht="10.5">
      <c r="A64" s="16" t="s">
        <v>405</v>
      </c>
      <c r="B64" s="426"/>
      <c r="C64" s="112">
        <f aca="true" t="shared" si="19" ref="C64:N64">C23*C51</f>
        <v>0</v>
      </c>
      <c r="D64" s="112">
        <f t="shared" si="19"/>
        <v>0</v>
      </c>
      <c r="E64" s="112">
        <f t="shared" si="19"/>
        <v>0</v>
      </c>
      <c r="F64" s="112">
        <f t="shared" si="19"/>
        <v>0</v>
      </c>
      <c r="G64" s="112">
        <f t="shared" si="19"/>
        <v>0</v>
      </c>
      <c r="H64" s="112">
        <f t="shared" si="19"/>
        <v>0</v>
      </c>
      <c r="I64" s="112">
        <f t="shared" si="19"/>
        <v>0</v>
      </c>
      <c r="J64" s="112">
        <f t="shared" si="19"/>
        <v>0</v>
      </c>
      <c r="K64" s="112">
        <f t="shared" si="19"/>
        <v>0</v>
      </c>
      <c r="L64" s="112">
        <f t="shared" si="19"/>
        <v>0</v>
      </c>
      <c r="M64" s="112">
        <f t="shared" si="19"/>
        <v>0</v>
      </c>
      <c r="N64" s="370">
        <f t="shared" si="19"/>
        <v>0</v>
      </c>
      <c r="O64" s="194">
        <f t="shared" si="17"/>
        <v>0</v>
      </c>
    </row>
    <row r="65" spans="1:15" ht="10.5">
      <c r="A65" s="16" t="s">
        <v>406</v>
      </c>
      <c r="B65" s="426"/>
      <c r="C65" s="112">
        <f aca="true" t="shared" si="20" ref="C65:N65">C24*C52</f>
        <v>0</v>
      </c>
      <c r="D65" s="112">
        <f t="shared" si="20"/>
        <v>0</v>
      </c>
      <c r="E65" s="112">
        <f t="shared" si="20"/>
        <v>0</v>
      </c>
      <c r="F65" s="112">
        <f t="shared" si="20"/>
        <v>0</v>
      </c>
      <c r="G65" s="112">
        <f t="shared" si="20"/>
        <v>0</v>
      </c>
      <c r="H65" s="112">
        <f t="shared" si="20"/>
        <v>0</v>
      </c>
      <c r="I65" s="112">
        <f t="shared" si="20"/>
        <v>0</v>
      </c>
      <c r="J65" s="112">
        <f t="shared" si="20"/>
        <v>0</v>
      </c>
      <c r="K65" s="112">
        <f t="shared" si="20"/>
        <v>0</v>
      </c>
      <c r="L65" s="112">
        <f t="shared" si="20"/>
        <v>0</v>
      </c>
      <c r="M65" s="112">
        <f t="shared" si="20"/>
        <v>0</v>
      </c>
      <c r="N65" s="370">
        <f t="shared" si="20"/>
        <v>0</v>
      </c>
      <c r="O65" s="194">
        <f t="shared" si="17"/>
        <v>0</v>
      </c>
    </row>
    <row r="66" spans="1:15" ht="10.5">
      <c r="A66" s="16" t="s">
        <v>407</v>
      </c>
      <c r="B66" s="426"/>
      <c r="C66" s="112">
        <f aca="true" t="shared" si="21" ref="C66:N66">C25*C53</f>
        <v>0</v>
      </c>
      <c r="D66" s="112">
        <f t="shared" si="21"/>
        <v>0</v>
      </c>
      <c r="E66" s="112">
        <f t="shared" si="21"/>
        <v>0</v>
      </c>
      <c r="F66" s="112">
        <f t="shared" si="21"/>
        <v>0</v>
      </c>
      <c r="G66" s="112">
        <f t="shared" si="21"/>
        <v>0</v>
      </c>
      <c r="H66" s="112">
        <f t="shared" si="21"/>
        <v>0</v>
      </c>
      <c r="I66" s="112">
        <f t="shared" si="21"/>
        <v>0</v>
      </c>
      <c r="J66" s="112">
        <f t="shared" si="21"/>
        <v>0</v>
      </c>
      <c r="K66" s="112">
        <f t="shared" si="21"/>
        <v>0</v>
      </c>
      <c r="L66" s="112">
        <f t="shared" si="21"/>
        <v>0</v>
      </c>
      <c r="M66" s="112">
        <f t="shared" si="21"/>
        <v>0</v>
      </c>
      <c r="N66" s="370">
        <f t="shared" si="21"/>
        <v>0</v>
      </c>
      <c r="O66" s="194">
        <f t="shared" si="17"/>
        <v>0</v>
      </c>
    </row>
    <row r="67" spans="1:15" ht="10.5">
      <c r="A67" s="16" t="s">
        <v>408</v>
      </c>
      <c r="B67" s="426"/>
      <c r="C67" s="112">
        <f aca="true" t="shared" si="22" ref="C67:N67">C26*C54</f>
        <v>0</v>
      </c>
      <c r="D67" s="112">
        <f t="shared" si="22"/>
        <v>0</v>
      </c>
      <c r="E67" s="112">
        <f t="shared" si="22"/>
        <v>0</v>
      </c>
      <c r="F67" s="112">
        <f t="shared" si="22"/>
        <v>0</v>
      </c>
      <c r="G67" s="112">
        <f t="shared" si="22"/>
        <v>0</v>
      </c>
      <c r="H67" s="112">
        <f t="shared" si="22"/>
        <v>0</v>
      </c>
      <c r="I67" s="112">
        <f t="shared" si="22"/>
        <v>0</v>
      </c>
      <c r="J67" s="112">
        <f t="shared" si="22"/>
        <v>0</v>
      </c>
      <c r="K67" s="112">
        <f t="shared" si="22"/>
        <v>0</v>
      </c>
      <c r="L67" s="112">
        <f t="shared" si="22"/>
        <v>0</v>
      </c>
      <c r="M67" s="112">
        <f t="shared" si="22"/>
        <v>0</v>
      </c>
      <c r="N67" s="370">
        <f t="shared" si="22"/>
        <v>0</v>
      </c>
      <c r="O67" s="194">
        <f t="shared" si="17"/>
        <v>0</v>
      </c>
    </row>
    <row r="68" spans="1:15" ht="10.5">
      <c r="A68" s="16" t="s">
        <v>409</v>
      </c>
      <c r="B68" s="426"/>
      <c r="C68" s="112">
        <f aca="true" t="shared" si="23" ref="C68:N68">C27*C55</f>
        <v>0</v>
      </c>
      <c r="D68" s="112">
        <f t="shared" si="23"/>
        <v>0</v>
      </c>
      <c r="E68" s="112">
        <f t="shared" si="23"/>
        <v>0</v>
      </c>
      <c r="F68" s="112">
        <f t="shared" si="23"/>
        <v>0</v>
      </c>
      <c r="G68" s="112">
        <f t="shared" si="23"/>
        <v>0</v>
      </c>
      <c r="H68" s="112">
        <f t="shared" si="23"/>
        <v>0</v>
      </c>
      <c r="I68" s="112">
        <f t="shared" si="23"/>
        <v>0</v>
      </c>
      <c r="J68" s="112">
        <f t="shared" si="23"/>
        <v>0</v>
      </c>
      <c r="K68" s="112">
        <f t="shared" si="23"/>
        <v>0</v>
      </c>
      <c r="L68" s="112">
        <f t="shared" si="23"/>
        <v>0</v>
      </c>
      <c r="M68" s="112">
        <f t="shared" si="23"/>
        <v>0</v>
      </c>
      <c r="N68" s="370">
        <f t="shared" si="23"/>
        <v>0</v>
      </c>
      <c r="O68" s="194">
        <f t="shared" si="17"/>
        <v>0</v>
      </c>
    </row>
    <row r="69" spans="1:15" ht="10.5">
      <c r="A69" s="16" t="s">
        <v>410</v>
      </c>
      <c r="B69" s="426"/>
      <c r="C69" s="112">
        <f aca="true" t="shared" si="24" ref="C69:N69">C28*C56</f>
        <v>0</v>
      </c>
      <c r="D69" s="112">
        <f t="shared" si="24"/>
        <v>0</v>
      </c>
      <c r="E69" s="112">
        <f t="shared" si="24"/>
        <v>0</v>
      </c>
      <c r="F69" s="112">
        <f t="shared" si="24"/>
        <v>0</v>
      </c>
      <c r="G69" s="112">
        <f t="shared" si="24"/>
        <v>0</v>
      </c>
      <c r="H69" s="112">
        <f t="shared" si="24"/>
        <v>0</v>
      </c>
      <c r="I69" s="112">
        <f t="shared" si="24"/>
        <v>0</v>
      </c>
      <c r="J69" s="112">
        <f t="shared" si="24"/>
        <v>0</v>
      </c>
      <c r="K69" s="112">
        <f t="shared" si="24"/>
        <v>0</v>
      </c>
      <c r="L69" s="112">
        <f t="shared" si="24"/>
        <v>0</v>
      </c>
      <c r="M69" s="112">
        <f t="shared" si="24"/>
        <v>0</v>
      </c>
      <c r="N69" s="370">
        <f t="shared" si="24"/>
        <v>0</v>
      </c>
      <c r="O69" s="194">
        <f t="shared" si="17"/>
        <v>0</v>
      </c>
    </row>
    <row r="70" spans="1:15" ht="10.5">
      <c r="A70" s="422" t="s">
        <v>64</v>
      </c>
      <c r="B70" s="110"/>
      <c r="C70" s="324" t="s">
        <v>342</v>
      </c>
      <c r="D70" s="324" t="s">
        <v>342</v>
      </c>
      <c r="E70" s="324" t="s">
        <v>342</v>
      </c>
      <c r="F70" s="324" t="s">
        <v>342</v>
      </c>
      <c r="G70" s="324" t="s">
        <v>342</v>
      </c>
      <c r="H70" s="324" t="s">
        <v>342</v>
      </c>
      <c r="I70" s="324" t="s">
        <v>342</v>
      </c>
      <c r="J70" s="324" t="s">
        <v>342</v>
      </c>
      <c r="K70" s="324" t="s">
        <v>342</v>
      </c>
      <c r="L70" s="324" t="s">
        <v>342</v>
      </c>
      <c r="M70" s="324" t="s">
        <v>342</v>
      </c>
      <c r="N70" s="325" t="s">
        <v>342</v>
      </c>
      <c r="O70" s="326" t="s">
        <v>342</v>
      </c>
    </row>
    <row r="71" spans="1:15" ht="10.5">
      <c r="A71" s="422"/>
      <c r="B71" s="90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5"/>
      <c r="O71" s="417"/>
    </row>
    <row r="72" spans="1:15" s="34" customFormat="1" ht="10.5">
      <c r="A72" s="321" t="s">
        <v>163</v>
      </c>
      <c r="B72" s="337"/>
      <c r="C72" s="308">
        <f>SUM(C61:C70)</f>
        <v>0</v>
      </c>
      <c r="D72" s="308">
        <f aca="true" t="shared" si="25" ref="D72:N72">SUM(D61:D70)</f>
        <v>0</v>
      </c>
      <c r="E72" s="308">
        <f t="shared" si="25"/>
        <v>0</v>
      </c>
      <c r="F72" s="308">
        <f t="shared" si="25"/>
        <v>0</v>
      </c>
      <c r="G72" s="308">
        <f t="shared" si="25"/>
        <v>0</v>
      </c>
      <c r="H72" s="308">
        <f t="shared" si="25"/>
        <v>0</v>
      </c>
      <c r="I72" s="308">
        <f t="shared" si="25"/>
        <v>0</v>
      </c>
      <c r="J72" s="308">
        <f t="shared" si="25"/>
        <v>0</v>
      </c>
      <c r="K72" s="308">
        <f t="shared" si="25"/>
        <v>0</v>
      </c>
      <c r="L72" s="308">
        <f t="shared" si="25"/>
        <v>0</v>
      </c>
      <c r="M72" s="308">
        <f t="shared" si="25"/>
        <v>0</v>
      </c>
      <c r="N72" s="309">
        <f t="shared" si="25"/>
        <v>0</v>
      </c>
      <c r="O72" s="140">
        <f>SUM(C72:N72)</f>
        <v>0</v>
      </c>
    </row>
    <row r="73" spans="1:15" ht="10.5">
      <c r="A73" s="402"/>
      <c r="B73" s="110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100"/>
    </row>
    <row r="75" spans="1:14" s="89" customFormat="1" ht="18" customHeight="1" thickBot="1">
      <c r="A75" s="77" t="s">
        <v>329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78"/>
    </row>
    <row r="76" spans="1:15" ht="10.5">
      <c r="A76" s="122" t="s">
        <v>71</v>
      </c>
      <c r="B76" s="427"/>
      <c r="C76" s="123">
        <v>39448</v>
      </c>
      <c r="D76" s="123">
        <v>39479</v>
      </c>
      <c r="E76" s="123">
        <v>39508</v>
      </c>
      <c r="F76" s="123">
        <v>39539</v>
      </c>
      <c r="G76" s="123">
        <v>39569</v>
      </c>
      <c r="H76" s="123">
        <v>39600</v>
      </c>
      <c r="I76" s="123">
        <v>39630</v>
      </c>
      <c r="J76" s="123">
        <v>39661</v>
      </c>
      <c r="K76" s="123">
        <v>39692</v>
      </c>
      <c r="L76" s="123">
        <v>39722</v>
      </c>
      <c r="M76" s="123">
        <v>39753</v>
      </c>
      <c r="N76" s="123">
        <v>39783</v>
      </c>
      <c r="O76" s="366" t="s">
        <v>67</v>
      </c>
    </row>
    <row r="77" spans="1:15" ht="21">
      <c r="A77" s="156" t="s">
        <v>95</v>
      </c>
      <c r="B77" s="424"/>
      <c r="C77" s="157">
        <f>SUM(C61:C69)</f>
        <v>0</v>
      </c>
      <c r="D77" s="157">
        <f aca="true" t="shared" si="26" ref="D77:N77">SUM(D61:D69)+SUM(D70:D70)</f>
        <v>0</v>
      </c>
      <c r="E77" s="157">
        <f t="shared" si="26"/>
        <v>0</v>
      </c>
      <c r="F77" s="157">
        <f t="shared" si="26"/>
        <v>0</v>
      </c>
      <c r="G77" s="157">
        <f t="shared" si="26"/>
        <v>0</v>
      </c>
      <c r="H77" s="157">
        <f t="shared" si="26"/>
        <v>0</v>
      </c>
      <c r="I77" s="157">
        <f t="shared" si="26"/>
        <v>0</v>
      </c>
      <c r="J77" s="157">
        <f t="shared" si="26"/>
        <v>0</v>
      </c>
      <c r="K77" s="157">
        <f t="shared" si="26"/>
        <v>0</v>
      </c>
      <c r="L77" s="157">
        <f t="shared" si="26"/>
        <v>0</v>
      </c>
      <c r="M77" s="157">
        <f t="shared" si="26"/>
        <v>0</v>
      </c>
      <c r="N77" s="158">
        <f t="shared" si="26"/>
        <v>0</v>
      </c>
      <c r="O77" s="192">
        <f aca="true" t="shared" si="27" ref="O77:O85">SUM(C77:N77)</f>
        <v>0</v>
      </c>
    </row>
    <row r="78" spans="1:15" ht="21">
      <c r="A78" s="57" t="s">
        <v>96</v>
      </c>
      <c r="B78" s="168"/>
      <c r="C78" s="118">
        <f>C77*1.18</f>
        <v>0</v>
      </c>
      <c r="D78" s="118">
        <f aca="true" t="shared" si="28" ref="D78:N78">D77*1.18</f>
        <v>0</v>
      </c>
      <c r="E78" s="118">
        <f t="shared" si="28"/>
        <v>0</v>
      </c>
      <c r="F78" s="118">
        <f t="shared" si="28"/>
        <v>0</v>
      </c>
      <c r="G78" s="118">
        <f t="shared" si="28"/>
        <v>0</v>
      </c>
      <c r="H78" s="118">
        <f t="shared" si="28"/>
        <v>0</v>
      </c>
      <c r="I78" s="118">
        <f t="shared" si="28"/>
        <v>0</v>
      </c>
      <c r="J78" s="118">
        <f t="shared" si="28"/>
        <v>0</v>
      </c>
      <c r="K78" s="118">
        <f t="shared" si="28"/>
        <v>0</v>
      </c>
      <c r="L78" s="118">
        <f t="shared" si="28"/>
        <v>0</v>
      </c>
      <c r="M78" s="118">
        <f t="shared" si="28"/>
        <v>0</v>
      </c>
      <c r="N78" s="256">
        <f t="shared" si="28"/>
        <v>0</v>
      </c>
      <c r="O78" s="194">
        <f t="shared" si="27"/>
        <v>0</v>
      </c>
    </row>
    <row r="79" spans="1:15" ht="31.5">
      <c r="A79" s="160" t="s">
        <v>279</v>
      </c>
      <c r="B79" s="168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243"/>
      <c r="O79" s="194">
        <f t="shared" si="27"/>
        <v>0</v>
      </c>
    </row>
    <row r="80" spans="1:15" ht="21">
      <c r="A80" s="57" t="s">
        <v>97</v>
      </c>
      <c r="B80" s="168"/>
      <c r="C80" s="118">
        <f>C81+C82</f>
        <v>0</v>
      </c>
      <c r="D80" s="118">
        <f>D81+D82+C83</f>
        <v>0</v>
      </c>
      <c r="E80" s="118">
        <f>E81+E82+D83+C84</f>
        <v>0</v>
      </c>
      <c r="F80" s="118">
        <f aca="true" t="shared" si="29" ref="F80:N80">F81+F82+E83+D84</f>
        <v>0</v>
      </c>
      <c r="G80" s="118">
        <f t="shared" si="29"/>
        <v>0</v>
      </c>
      <c r="H80" s="118">
        <f t="shared" si="29"/>
        <v>0</v>
      </c>
      <c r="I80" s="118">
        <f t="shared" si="29"/>
        <v>0</v>
      </c>
      <c r="J80" s="118">
        <f t="shared" si="29"/>
        <v>0</v>
      </c>
      <c r="K80" s="118">
        <f t="shared" si="29"/>
        <v>0</v>
      </c>
      <c r="L80" s="118">
        <f t="shared" si="29"/>
        <v>0</v>
      </c>
      <c r="M80" s="118">
        <f t="shared" si="29"/>
        <v>0</v>
      </c>
      <c r="N80" s="256">
        <f t="shared" si="29"/>
        <v>0</v>
      </c>
      <c r="O80" s="194">
        <f t="shared" si="27"/>
        <v>0</v>
      </c>
    </row>
    <row r="81" spans="1:15" ht="21">
      <c r="A81" s="160" t="s">
        <v>98</v>
      </c>
      <c r="B81" s="168"/>
      <c r="C81" s="113">
        <f>C79</f>
        <v>0</v>
      </c>
      <c r="D81" s="113">
        <f aca="true" t="shared" si="30" ref="D81:N81">D79</f>
        <v>0</v>
      </c>
      <c r="E81" s="113">
        <f t="shared" si="30"/>
        <v>0</v>
      </c>
      <c r="F81" s="113">
        <f t="shared" si="30"/>
        <v>0</v>
      </c>
      <c r="G81" s="113">
        <f t="shared" si="30"/>
        <v>0</v>
      </c>
      <c r="H81" s="113">
        <f t="shared" si="30"/>
        <v>0</v>
      </c>
      <c r="I81" s="113">
        <f t="shared" si="30"/>
        <v>0</v>
      </c>
      <c r="J81" s="113">
        <f t="shared" si="30"/>
        <v>0</v>
      </c>
      <c r="K81" s="113">
        <f t="shared" si="30"/>
        <v>0</v>
      </c>
      <c r="L81" s="113">
        <f t="shared" si="30"/>
        <v>0</v>
      </c>
      <c r="M81" s="113">
        <f t="shared" si="30"/>
        <v>0</v>
      </c>
      <c r="N81" s="161">
        <f t="shared" si="30"/>
        <v>0</v>
      </c>
      <c r="O81" s="194">
        <f t="shared" si="27"/>
        <v>0</v>
      </c>
    </row>
    <row r="82" spans="1:15" ht="10.5">
      <c r="A82" s="160" t="s">
        <v>99</v>
      </c>
      <c r="B82" s="168"/>
      <c r="C82" s="113">
        <f>IF(Оборачиваемость!C$4&lt;30,C$78*(30-Оборачиваемость!C$4)/30,0)</f>
        <v>0</v>
      </c>
      <c r="D82" s="113">
        <f>IF(Оборачиваемость!D$4&lt;30,D$78*(30-Оборачиваемость!D$4)/30,0)</f>
        <v>0</v>
      </c>
      <c r="E82" s="113">
        <f>IF(Оборачиваемость!E$4&lt;30,E$78*(30-Оборачиваемость!E$4)/30,0)</f>
        <v>0</v>
      </c>
      <c r="F82" s="113">
        <f>IF(Оборачиваемость!F$4&lt;30,F$78*(30-Оборачиваемость!F$4)/30,0)</f>
        <v>0</v>
      </c>
      <c r="G82" s="113">
        <f>IF(Оборачиваемость!G$4&lt;30,G$78*(30-Оборачиваемость!G$4)/30,0)</f>
        <v>0</v>
      </c>
      <c r="H82" s="113">
        <f>IF(Оборачиваемость!H$4&lt;30,H$78*(30-Оборачиваемость!H$4)/30,0)</f>
        <v>0</v>
      </c>
      <c r="I82" s="113">
        <f>IF(Оборачиваемость!I$4&lt;30,I$78*(30-Оборачиваемость!I$4)/30,0)</f>
        <v>0</v>
      </c>
      <c r="J82" s="113">
        <f>IF(Оборачиваемость!J$4&lt;30,J$78*(30-Оборачиваемость!J$4)/30,0)</f>
        <v>0</v>
      </c>
      <c r="K82" s="113">
        <f>IF(Оборачиваемость!K$4&lt;30,K$78*(30-Оборачиваемость!K$4)/30,0)</f>
        <v>0</v>
      </c>
      <c r="L82" s="113">
        <f>IF(Оборачиваемость!L$4&lt;30,L$78*(30-Оборачиваемость!L$4)/30,0)</f>
        <v>0</v>
      </c>
      <c r="M82" s="113">
        <f>IF(Оборачиваемость!M$4&lt;30,M$78*(30-Оборачиваемость!M$4)/30,0)</f>
        <v>0</v>
      </c>
      <c r="N82" s="161">
        <f>IF(Оборачиваемость!N$4&lt;30,N$78*(30-Оборачиваемость!N$4)/30,0)</f>
        <v>0</v>
      </c>
      <c r="O82" s="194">
        <f t="shared" si="27"/>
        <v>0</v>
      </c>
    </row>
    <row r="83" spans="1:15" ht="10.5">
      <c r="A83" s="160" t="s">
        <v>100</v>
      </c>
      <c r="B83" s="168"/>
      <c r="C83" s="113">
        <f>IF(Оборачиваемость!C$4&gt;=30,C$78*(60-Оборачиваемость!C$4)/30,C$78*Оборачиваемость!C$4/30)</f>
        <v>0</v>
      </c>
      <c r="D83" s="113">
        <f>IF(Оборачиваемость!D$4&gt;=30,D$78*(60-Оборачиваемость!D$4)/30,D$78*Оборачиваемость!D$4/30)</f>
        <v>0</v>
      </c>
      <c r="E83" s="113">
        <f>IF(Оборачиваемость!E$4&gt;=30,E$78*(60-Оборачиваемость!E$4)/30,E$78*Оборачиваемость!E$4/30)</f>
        <v>0</v>
      </c>
      <c r="F83" s="113">
        <f>IF(Оборачиваемость!F$4&gt;=30,F$78*(60-Оборачиваемость!F$4)/30,F$78*Оборачиваемость!F$4/30)</f>
        <v>0</v>
      </c>
      <c r="G83" s="113">
        <f>IF(Оборачиваемость!G$4&gt;=30,G$78*(60-Оборачиваемость!G$4)/30,G$78*Оборачиваемость!G$4/30)</f>
        <v>0</v>
      </c>
      <c r="H83" s="113">
        <f>IF(Оборачиваемость!H$4&gt;=30,H$78*(60-Оборачиваемость!H$4)/30,H$78*Оборачиваемость!H$4/30)</f>
        <v>0</v>
      </c>
      <c r="I83" s="113">
        <f>IF(Оборачиваемость!I$4&gt;=30,I$78*(60-Оборачиваемость!I$4)/30,I$78*Оборачиваемость!I$4/30)</f>
        <v>0</v>
      </c>
      <c r="J83" s="113">
        <f>IF(Оборачиваемость!J$4&gt;=30,J$78*(60-Оборачиваемость!J$4)/30,J$78*Оборачиваемость!J$4/30)</f>
        <v>0</v>
      </c>
      <c r="K83" s="113">
        <f>IF(Оборачиваемость!K$4&gt;=30,K$78*(60-Оборачиваемость!K$4)/30,K$78*Оборачиваемость!K$4/30)</f>
        <v>0</v>
      </c>
      <c r="L83" s="113">
        <f>IF(Оборачиваемость!L$4&gt;=30,L$78*(60-Оборачиваемость!L$4)/30,L$78*Оборачиваемость!L$4/30)</f>
        <v>0</v>
      </c>
      <c r="M83" s="113">
        <f>IF(Оборачиваемость!M$4&gt;=30,M$78*(60-Оборачиваемость!M$4)/30,M$78*Оборачиваемость!M$4/30)</f>
        <v>0</v>
      </c>
      <c r="N83" s="161">
        <f>IF(Оборачиваемость!N$4&gt;=30,N$78*(60-Оборачиваемость!N$4)/30,N$78*Оборачиваемость!N$4/30)</f>
        <v>0</v>
      </c>
      <c r="O83" s="194">
        <f t="shared" si="27"/>
        <v>0</v>
      </c>
    </row>
    <row r="84" spans="1:15" ht="10.5">
      <c r="A84" s="160" t="s">
        <v>101</v>
      </c>
      <c r="B84" s="168"/>
      <c r="C84" s="113">
        <f>C78-C82-C83</f>
        <v>0</v>
      </c>
      <c r="D84" s="113">
        <f aca="true" t="shared" si="31" ref="D84:N84">D78-D82-D83</f>
        <v>0</v>
      </c>
      <c r="E84" s="113">
        <f t="shared" si="31"/>
        <v>0</v>
      </c>
      <c r="F84" s="113">
        <f t="shared" si="31"/>
        <v>0</v>
      </c>
      <c r="G84" s="113">
        <f t="shared" si="31"/>
        <v>0</v>
      </c>
      <c r="H84" s="113">
        <f t="shared" si="31"/>
        <v>0</v>
      </c>
      <c r="I84" s="113">
        <f t="shared" si="31"/>
        <v>0</v>
      </c>
      <c r="J84" s="113">
        <f t="shared" si="31"/>
        <v>0</v>
      </c>
      <c r="K84" s="113">
        <f t="shared" si="31"/>
        <v>0</v>
      </c>
      <c r="L84" s="113">
        <f t="shared" si="31"/>
        <v>0</v>
      </c>
      <c r="M84" s="113">
        <f t="shared" si="31"/>
        <v>0</v>
      </c>
      <c r="N84" s="161">
        <f t="shared" si="31"/>
        <v>0</v>
      </c>
      <c r="O84" s="194">
        <f t="shared" si="27"/>
        <v>0</v>
      </c>
    </row>
    <row r="85" spans="1:15" ht="31.5">
      <c r="A85" s="429" t="s">
        <v>75</v>
      </c>
      <c r="B85" s="430"/>
      <c r="C85" s="374">
        <f>C80-C78</f>
        <v>0</v>
      </c>
      <c r="D85" s="374">
        <f aca="true" t="shared" si="32" ref="D85:N85">D80-D78</f>
        <v>0</v>
      </c>
      <c r="E85" s="374">
        <f t="shared" si="32"/>
        <v>0</v>
      </c>
      <c r="F85" s="374">
        <f t="shared" si="32"/>
        <v>0</v>
      </c>
      <c r="G85" s="374">
        <f t="shared" si="32"/>
        <v>0</v>
      </c>
      <c r="H85" s="374">
        <f t="shared" si="32"/>
        <v>0</v>
      </c>
      <c r="I85" s="374">
        <f t="shared" si="32"/>
        <v>0</v>
      </c>
      <c r="J85" s="374">
        <f t="shared" si="32"/>
        <v>0</v>
      </c>
      <c r="K85" s="374">
        <f t="shared" si="32"/>
        <v>0</v>
      </c>
      <c r="L85" s="374">
        <f t="shared" si="32"/>
        <v>0</v>
      </c>
      <c r="M85" s="374">
        <f t="shared" si="32"/>
        <v>0</v>
      </c>
      <c r="N85" s="375">
        <f t="shared" si="32"/>
        <v>0</v>
      </c>
      <c r="O85" s="367">
        <f t="shared" si="27"/>
        <v>0</v>
      </c>
    </row>
    <row r="88" spans="1:17" ht="12.75">
      <c r="A88" s="170" t="s">
        <v>330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ht="11.25" thickBot="1">
      <c r="A89" s="90"/>
      <c r="B89" s="90"/>
      <c r="C89" s="90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 ht="21">
      <c r="A90" s="80" t="s">
        <v>0</v>
      </c>
      <c r="B90" s="55" t="s">
        <v>90</v>
      </c>
      <c r="C90" s="171" t="s">
        <v>250</v>
      </c>
      <c r="D90" s="172" t="str">
        <f>VLOOKUP(C90,Классификаторы!$A$71:$B$92,2,0)</f>
        <v>Продукт 1</v>
      </c>
      <c r="E90" s="173" t="s">
        <v>94</v>
      </c>
      <c r="F90" s="173">
        <v>39448</v>
      </c>
      <c r="G90" s="173">
        <v>39479</v>
      </c>
      <c r="H90" s="173">
        <v>39508</v>
      </c>
      <c r="I90" s="173">
        <v>39539</v>
      </c>
      <c r="J90" s="173">
        <v>39569</v>
      </c>
      <c r="K90" s="173">
        <v>39600</v>
      </c>
      <c r="L90" s="173">
        <v>39630</v>
      </c>
      <c r="M90" s="173">
        <v>39661</v>
      </c>
      <c r="N90" s="173">
        <v>39692</v>
      </c>
      <c r="O90" s="173">
        <v>39722</v>
      </c>
      <c r="P90" s="173">
        <v>39753</v>
      </c>
      <c r="Q90" s="173">
        <v>39783</v>
      </c>
    </row>
    <row r="91" spans="1:17" ht="10.5">
      <c r="A91" s="242"/>
      <c r="B91" s="16" t="s">
        <v>402</v>
      </c>
      <c r="C91" s="131" t="s">
        <v>374</v>
      </c>
      <c r="D91" s="431">
        <f>SUMIF('Технологическая карта 2 (вспом)'!$C$128:$C$136,'Закупки сырья'!B91,'Технологическая карта 2 (вспом)'!$D$128:$D$136)</f>
        <v>0</v>
      </c>
      <c r="E91" s="431">
        <f>SUMIF('Закупки сырья'!$A$35:$A$43,B91,'Закупки сырья'!$B$35:$B$43)</f>
        <v>0</v>
      </c>
      <c r="F91" s="431">
        <f>$D91*$E91*'Закупки сырья'!C$35</f>
        <v>0</v>
      </c>
      <c r="G91" s="431">
        <f>$D91*$E91*'Закупки сырья'!D$35</f>
        <v>0</v>
      </c>
      <c r="H91" s="431">
        <f>$D91*$E91*'Закупки сырья'!E$35</f>
        <v>0</v>
      </c>
      <c r="I91" s="431">
        <f>$D91*$E91*'Закупки сырья'!F$35</f>
        <v>0</v>
      </c>
      <c r="J91" s="431">
        <f>$D91*$E91*'Закупки сырья'!G$35</f>
        <v>0</v>
      </c>
      <c r="K91" s="431">
        <f>$D91*$E91*'Закупки сырья'!H$35</f>
        <v>0</v>
      </c>
      <c r="L91" s="431">
        <f>$D91*$E91*'Закупки сырья'!I$35</f>
        <v>0</v>
      </c>
      <c r="M91" s="431">
        <f>$D91*$E91*'Закупки сырья'!J$35</f>
        <v>0</v>
      </c>
      <c r="N91" s="431">
        <f>$D91*$E91*'Закупки сырья'!K$35</f>
        <v>0</v>
      </c>
      <c r="O91" s="431">
        <f>$D91*$E91*'Закупки сырья'!L$35</f>
        <v>0</v>
      </c>
      <c r="P91" s="431">
        <f>$D91*$E91*'Закупки сырья'!M$35</f>
        <v>0</v>
      </c>
      <c r="Q91" s="432">
        <f>$D91*$E91*'Закупки сырья'!N$35</f>
        <v>0</v>
      </c>
    </row>
    <row r="92" spans="1:17" ht="10.5">
      <c r="A92" s="174"/>
      <c r="B92" s="16" t="s">
        <v>403</v>
      </c>
      <c r="C92" s="131" t="s">
        <v>374</v>
      </c>
      <c r="D92" s="175">
        <f>SUMIF('Технологическая карта 2 (вспом)'!$C$128:$C$136,'Закупки сырья'!B92,'Технологическая карта 2 (вспом)'!$D$128:$D$136)</f>
        <v>0</v>
      </c>
      <c r="E92" s="175">
        <f>SUMIF('Закупки сырья'!$A$35:$A$43,B92,'Закупки сырья'!$B$35:$B$43)</f>
        <v>0</v>
      </c>
      <c r="F92" s="175">
        <f>$D92*$E92*'Закупки сырья'!C$36</f>
        <v>0</v>
      </c>
      <c r="G92" s="175">
        <f>$D92*$E92*'Закупки сырья'!D$36</f>
        <v>0</v>
      </c>
      <c r="H92" s="175">
        <f>$D92*$E92*'Закупки сырья'!E$36</f>
        <v>0</v>
      </c>
      <c r="I92" s="175">
        <f>$D92*$E92*'Закупки сырья'!F$36</f>
        <v>0</v>
      </c>
      <c r="J92" s="175">
        <f>$D92*$E92*'Закупки сырья'!G$36</f>
        <v>0</v>
      </c>
      <c r="K92" s="175">
        <f>$D92*$E92*'Закупки сырья'!H$36</f>
        <v>0</v>
      </c>
      <c r="L92" s="175">
        <f>$D92*$E92*'Закупки сырья'!I$36</f>
        <v>0</v>
      </c>
      <c r="M92" s="175">
        <f>$D92*$E92*'Закупки сырья'!J$36</f>
        <v>0</v>
      </c>
      <c r="N92" s="175">
        <f>$D92*$E92*'Закупки сырья'!K$36</f>
        <v>0</v>
      </c>
      <c r="O92" s="175">
        <f>$D92*$E92*'Закупки сырья'!L$36</f>
        <v>0</v>
      </c>
      <c r="P92" s="175">
        <f>$D92*$E92*'Закупки сырья'!M$36</f>
        <v>0</v>
      </c>
      <c r="Q92" s="433">
        <f>$D92*$E92*'Закупки сырья'!N$36</f>
        <v>0</v>
      </c>
    </row>
    <row r="93" spans="1:17" ht="10.5">
      <c r="A93" s="174"/>
      <c r="B93" s="16" t="s">
        <v>404</v>
      </c>
      <c r="C93" s="131" t="s">
        <v>374</v>
      </c>
      <c r="D93" s="175">
        <f>SUMIF('Технологическая карта 2 (вспом)'!$C$128:$C$136,'Закупки сырья'!B93,'Технологическая карта 2 (вспом)'!$D$128:$D$136)</f>
        <v>0</v>
      </c>
      <c r="E93" s="175">
        <f>SUMIF('Закупки сырья'!$A$35:$A$43,B93,'Закупки сырья'!$B$35:$B$43)</f>
        <v>0</v>
      </c>
      <c r="F93" s="175">
        <f>$D93*$E93*'Закупки сырья'!C$37</f>
        <v>0</v>
      </c>
      <c r="G93" s="175">
        <f>$D93*$E93*'Закупки сырья'!D$37</f>
        <v>0</v>
      </c>
      <c r="H93" s="175">
        <f>$D93*$E93*'Закупки сырья'!E$37</f>
        <v>0</v>
      </c>
      <c r="I93" s="175">
        <f>$D93*$E93*'Закупки сырья'!F$37</f>
        <v>0</v>
      </c>
      <c r="J93" s="175">
        <f>$D93*$E93*'Закупки сырья'!G$37</f>
        <v>0</v>
      </c>
      <c r="K93" s="175">
        <f>$D93*$E93*'Закупки сырья'!H$37</f>
        <v>0</v>
      </c>
      <c r="L93" s="175">
        <f>$D93*$E93*'Закупки сырья'!I$37</f>
        <v>0</v>
      </c>
      <c r="M93" s="175">
        <f>$D93*$E93*'Закупки сырья'!J$37</f>
        <v>0</v>
      </c>
      <c r="N93" s="175">
        <f>$D93*$E93*'Закупки сырья'!K$37</f>
        <v>0</v>
      </c>
      <c r="O93" s="175">
        <f>$D93*$E93*'Закупки сырья'!L$37</f>
        <v>0</v>
      </c>
      <c r="P93" s="175">
        <f>$D93*$E93*'Закупки сырья'!M$37</f>
        <v>0</v>
      </c>
      <c r="Q93" s="433">
        <f>$D93*$E93*'Закупки сырья'!N$37</f>
        <v>0</v>
      </c>
    </row>
    <row r="94" spans="1:17" ht="10.5">
      <c r="A94" s="174"/>
      <c r="B94" s="16" t="s">
        <v>405</v>
      </c>
      <c r="C94" s="131" t="s">
        <v>374</v>
      </c>
      <c r="D94" s="175">
        <f>SUMIF('Технологическая карта 2 (вспом)'!$C$128:$C$136,'Закупки сырья'!B94,'Технологическая карта 2 (вспом)'!$D$128:$D$136)</f>
        <v>0</v>
      </c>
      <c r="E94" s="175">
        <f>SUMIF('Закупки сырья'!$A$35:$A$43,B94,'Закупки сырья'!$B$35:$B$43)</f>
        <v>0</v>
      </c>
      <c r="F94" s="175">
        <f>$D94*$E94*'Закупки сырья'!C$38</f>
        <v>0</v>
      </c>
      <c r="G94" s="175">
        <f>$D94*$E94*'Закупки сырья'!D$38</f>
        <v>0</v>
      </c>
      <c r="H94" s="175">
        <f>$D94*$E94*'Закупки сырья'!E$38</f>
        <v>0</v>
      </c>
      <c r="I94" s="175">
        <f>$D94*$E94*'Закупки сырья'!F$38</f>
        <v>0</v>
      </c>
      <c r="J94" s="175">
        <f>$D94*$E94*'Закупки сырья'!G$38</f>
        <v>0</v>
      </c>
      <c r="K94" s="175">
        <f>$D94*$E94*'Закупки сырья'!H$38</f>
        <v>0</v>
      </c>
      <c r="L94" s="175">
        <f>$D94*$E94*'Закупки сырья'!I$38</f>
        <v>0</v>
      </c>
      <c r="M94" s="175">
        <f>$D94*$E94*'Закупки сырья'!J$38</f>
        <v>0</v>
      </c>
      <c r="N94" s="175">
        <f>$D94*$E94*'Закупки сырья'!K$38</f>
        <v>0</v>
      </c>
      <c r="O94" s="175">
        <f>$D94*$E94*'Закупки сырья'!L$38</f>
        <v>0</v>
      </c>
      <c r="P94" s="175">
        <f>$D94*$E94*'Закупки сырья'!M$38</f>
        <v>0</v>
      </c>
      <c r="Q94" s="433">
        <f>$D94*$E94*'Закупки сырья'!N$38</f>
        <v>0</v>
      </c>
    </row>
    <row r="95" spans="1:17" ht="10.5">
      <c r="A95" s="174"/>
      <c r="B95" s="16" t="s">
        <v>406</v>
      </c>
      <c r="C95" s="131" t="s">
        <v>374</v>
      </c>
      <c r="D95" s="175">
        <f>SUMIF('Технологическая карта 2 (вспом)'!$C$128:$C$136,'Закупки сырья'!B95,'Технологическая карта 2 (вспом)'!$D$128:$D$136)</f>
        <v>0</v>
      </c>
      <c r="E95" s="175">
        <f>SUMIF('Закупки сырья'!$A$35:$A$43,B95,'Закупки сырья'!$B$35:$B$43)</f>
        <v>0</v>
      </c>
      <c r="F95" s="175">
        <f>$D95*$E95*'Закупки сырья'!C$39</f>
        <v>0</v>
      </c>
      <c r="G95" s="175">
        <f>$D95*$E95*'Закупки сырья'!D$39</f>
        <v>0</v>
      </c>
      <c r="H95" s="175">
        <f>$D95*$E95*'Закупки сырья'!E$39</f>
        <v>0</v>
      </c>
      <c r="I95" s="175">
        <f>$D95*$E95*'Закупки сырья'!F$39</f>
        <v>0</v>
      </c>
      <c r="J95" s="175">
        <f>$D95*$E95*'Закупки сырья'!G$39</f>
        <v>0</v>
      </c>
      <c r="K95" s="175">
        <f>$D95*$E95*'Закупки сырья'!H$39</f>
        <v>0</v>
      </c>
      <c r="L95" s="175">
        <f>$D95*$E95*'Закупки сырья'!I$39</f>
        <v>0</v>
      </c>
      <c r="M95" s="175">
        <f>$D95*$E95*'Закупки сырья'!J$39</f>
        <v>0</v>
      </c>
      <c r="N95" s="175">
        <f>$D95*$E95*'Закупки сырья'!K$39</f>
        <v>0</v>
      </c>
      <c r="O95" s="175">
        <f>$D95*$E95*'Закупки сырья'!L$39</f>
        <v>0</v>
      </c>
      <c r="P95" s="175">
        <f>$D95*$E95*'Закупки сырья'!M$39</f>
        <v>0</v>
      </c>
      <c r="Q95" s="433">
        <f>$D95*$E95*'Закупки сырья'!N$39</f>
        <v>0</v>
      </c>
    </row>
    <row r="96" spans="1:17" ht="10.5">
      <c r="A96" s="174"/>
      <c r="B96" s="16" t="s">
        <v>407</v>
      </c>
      <c r="C96" s="131" t="s">
        <v>374</v>
      </c>
      <c r="D96" s="175">
        <f>SUMIF('Технологическая карта 2 (вспом)'!$C$128:$C$136,'Закупки сырья'!B96,'Технологическая карта 2 (вспом)'!$D$128:$D$136)</f>
        <v>0</v>
      </c>
      <c r="E96" s="175">
        <f>SUMIF('Закупки сырья'!$A$35:$A$43,B96,'Закупки сырья'!$B$35:$B$43)</f>
        <v>0</v>
      </c>
      <c r="F96" s="175">
        <f>$D96*$E96*'Закупки сырья'!C$40</f>
        <v>0</v>
      </c>
      <c r="G96" s="175">
        <f>$D96*$E96*'Закупки сырья'!D$40</f>
        <v>0</v>
      </c>
      <c r="H96" s="175">
        <f>$D96*$E96*'Закупки сырья'!E$40</f>
        <v>0</v>
      </c>
      <c r="I96" s="175">
        <f>$D96*$E96*'Закупки сырья'!F$40</f>
        <v>0</v>
      </c>
      <c r="J96" s="175">
        <f>$D96*$E96*'Закупки сырья'!G$40</f>
        <v>0</v>
      </c>
      <c r="K96" s="175">
        <f>$D96*$E96*'Закупки сырья'!H$40</f>
        <v>0</v>
      </c>
      <c r="L96" s="175">
        <f>$D96*$E96*'Закупки сырья'!I$40</f>
        <v>0</v>
      </c>
      <c r="M96" s="175">
        <f>$D96*$E96*'Закупки сырья'!J$40</f>
        <v>0</v>
      </c>
      <c r="N96" s="175">
        <f>$D96*$E96*'Закупки сырья'!K$40</f>
        <v>0</v>
      </c>
      <c r="O96" s="175">
        <f>$D96*$E96*'Закупки сырья'!L$40</f>
        <v>0</v>
      </c>
      <c r="P96" s="175">
        <f>$D96*$E96*'Закупки сырья'!M$40</f>
        <v>0</v>
      </c>
      <c r="Q96" s="433">
        <f>$D96*$E96*'Закупки сырья'!N$40</f>
        <v>0</v>
      </c>
    </row>
    <row r="97" spans="1:17" ht="10.5">
      <c r="A97" s="174"/>
      <c r="B97" s="16" t="s">
        <v>408</v>
      </c>
      <c r="C97" s="131" t="s">
        <v>374</v>
      </c>
      <c r="D97" s="175">
        <f>SUMIF('Технологическая карта 2 (вспом)'!$C$128:$C$136,'Закупки сырья'!B97,'Технологическая карта 2 (вспом)'!$D$128:$D$136)</f>
        <v>0</v>
      </c>
      <c r="E97" s="175">
        <f>SUMIF('Закупки сырья'!$A$35:$A$43,B97,'Закупки сырья'!$B$35:$B$43)</f>
        <v>0</v>
      </c>
      <c r="F97" s="175">
        <f>$D97*$E97*'Закупки сырья'!C$41</f>
        <v>0</v>
      </c>
      <c r="G97" s="175">
        <f>$D97*$E97*'Закупки сырья'!D$41</f>
        <v>0</v>
      </c>
      <c r="H97" s="175">
        <f>$D97*$E97*'Закупки сырья'!E$41</f>
        <v>0</v>
      </c>
      <c r="I97" s="175">
        <f>$D97*$E97*'Закупки сырья'!F$41</f>
        <v>0</v>
      </c>
      <c r="J97" s="175">
        <f>$D97*$E97*'Закупки сырья'!G$41</f>
        <v>0</v>
      </c>
      <c r="K97" s="175">
        <f>$D97*$E97*'Закупки сырья'!H$41</f>
        <v>0</v>
      </c>
      <c r="L97" s="175">
        <f>$D97*$E97*'Закупки сырья'!I$41</f>
        <v>0</v>
      </c>
      <c r="M97" s="175">
        <f>$D97*$E97*'Закупки сырья'!J$41</f>
        <v>0</v>
      </c>
      <c r="N97" s="175">
        <f>$D97*$E97*'Закупки сырья'!K$41</f>
        <v>0</v>
      </c>
      <c r="O97" s="175">
        <f>$D97*$E97*'Закупки сырья'!L$41</f>
        <v>0</v>
      </c>
      <c r="P97" s="175">
        <f>$D97*$E97*'Закупки сырья'!M$41</f>
        <v>0</v>
      </c>
      <c r="Q97" s="433">
        <f>$D97*$E97*'Закупки сырья'!N$41</f>
        <v>0</v>
      </c>
    </row>
    <row r="98" spans="1:17" ht="10.5">
      <c r="A98" s="174"/>
      <c r="B98" s="16" t="s">
        <v>409</v>
      </c>
      <c r="C98" s="131" t="s">
        <v>374</v>
      </c>
      <c r="D98" s="175">
        <f>SUMIF('Технологическая карта 2 (вспом)'!$C$128:$C$136,'Закупки сырья'!B98,'Технологическая карта 2 (вспом)'!$D$128:$D$136)</f>
        <v>0</v>
      </c>
      <c r="E98" s="175">
        <f>SUMIF('Закупки сырья'!$A$35:$A$43,B98,'Закупки сырья'!$B$35:$B$43)</f>
        <v>0</v>
      </c>
      <c r="F98" s="175">
        <f>$D98*$E98*'Закупки сырья'!C$42</f>
        <v>0</v>
      </c>
      <c r="G98" s="175">
        <f>$D98*$E98*'Закупки сырья'!D$42</f>
        <v>0</v>
      </c>
      <c r="H98" s="175">
        <f>$D98*$E98*'Закупки сырья'!E$42</f>
        <v>0</v>
      </c>
      <c r="I98" s="175">
        <f>$D98*$E98*'Закупки сырья'!F$42</f>
        <v>0</v>
      </c>
      <c r="J98" s="175">
        <f>$D98*$E98*'Закупки сырья'!G$42</f>
        <v>0</v>
      </c>
      <c r="K98" s="175">
        <f>$D98*$E98*'Закупки сырья'!H$42</f>
        <v>0</v>
      </c>
      <c r="L98" s="175">
        <f>$D98*$E98*'Закупки сырья'!I$42</f>
        <v>0</v>
      </c>
      <c r="M98" s="175">
        <f>$D98*$E98*'Закупки сырья'!J$42</f>
        <v>0</v>
      </c>
      <c r="N98" s="175">
        <f>$D98*$E98*'Закупки сырья'!K$42</f>
        <v>0</v>
      </c>
      <c r="O98" s="175">
        <f>$D98*$E98*'Закупки сырья'!L$42</f>
        <v>0</v>
      </c>
      <c r="P98" s="175">
        <f>$D98*$E98*'Закупки сырья'!M$42</f>
        <v>0</v>
      </c>
      <c r="Q98" s="433">
        <f>$D98*$E98*'Закупки сырья'!N$42</f>
        <v>0</v>
      </c>
    </row>
    <row r="99" spans="1:17" ht="10.5">
      <c r="A99" s="174"/>
      <c r="B99" s="16" t="s">
        <v>410</v>
      </c>
      <c r="C99" s="131" t="s">
        <v>374</v>
      </c>
      <c r="D99" s="175">
        <f>SUMIF('Технологическая карта 2 (вспом)'!$C$128:$C$136,'Закупки сырья'!B99,'Технологическая карта 2 (вспом)'!$D$128:$D$136)</f>
        <v>0</v>
      </c>
      <c r="E99" s="175">
        <f>SUMIF('Закупки сырья'!$A$35:$A$43,B99,'Закупки сырья'!$B$35:$B$43)</f>
        <v>0</v>
      </c>
      <c r="F99" s="175">
        <f>$D99*$E99*'Закупки сырья'!C$43</f>
        <v>0</v>
      </c>
      <c r="G99" s="175">
        <f>$D99*$E99*'Закупки сырья'!D$43</f>
        <v>0</v>
      </c>
      <c r="H99" s="175">
        <f>$D99*$E99*'Закупки сырья'!E$43</f>
        <v>0</v>
      </c>
      <c r="I99" s="175">
        <f>$D99*$E99*'Закупки сырья'!F$43</f>
        <v>0</v>
      </c>
      <c r="J99" s="175">
        <f>$D99*$E99*'Закупки сырья'!G$43</f>
        <v>0</v>
      </c>
      <c r="K99" s="175">
        <f>$D99*$E99*'Закупки сырья'!H$43</f>
        <v>0</v>
      </c>
      <c r="L99" s="175">
        <f>$D99*$E99*'Закупки сырья'!I$43</f>
        <v>0</v>
      </c>
      <c r="M99" s="175">
        <f>$D99*$E99*'Закупки сырья'!J$43</f>
        <v>0</v>
      </c>
      <c r="N99" s="175">
        <f>$D99*$E99*'Закупки сырья'!K$43</f>
        <v>0</v>
      </c>
      <c r="O99" s="175">
        <f>$D99*$E99*'Закупки сырья'!L$43</f>
        <v>0</v>
      </c>
      <c r="P99" s="175">
        <f>$D99*$E99*'Закупки сырья'!M$43</f>
        <v>0</v>
      </c>
      <c r="Q99" s="433">
        <f>$D99*$E99*'Закупки сырья'!N$43</f>
        <v>0</v>
      </c>
    </row>
    <row r="100" spans="1:17" ht="10.5">
      <c r="A100" s="244"/>
      <c r="B100" s="438" t="s">
        <v>64</v>
      </c>
      <c r="C100" s="138"/>
      <c r="D100" s="347" t="s">
        <v>342</v>
      </c>
      <c r="E100" s="347" t="s">
        <v>342</v>
      </c>
      <c r="F100" s="347" t="s">
        <v>342</v>
      </c>
      <c r="G100" s="347" t="s">
        <v>342</v>
      </c>
      <c r="H100" s="347" t="s">
        <v>342</v>
      </c>
      <c r="I100" s="347" t="s">
        <v>342</v>
      </c>
      <c r="J100" s="347" t="s">
        <v>342</v>
      </c>
      <c r="K100" s="347" t="s">
        <v>342</v>
      </c>
      <c r="L100" s="347" t="s">
        <v>342</v>
      </c>
      <c r="M100" s="347" t="s">
        <v>342</v>
      </c>
      <c r="N100" s="347" t="s">
        <v>342</v>
      </c>
      <c r="O100" s="347" t="s">
        <v>342</v>
      </c>
      <c r="P100" s="347" t="s">
        <v>342</v>
      </c>
      <c r="Q100" s="406" t="s">
        <v>342</v>
      </c>
    </row>
    <row r="101" spans="1:17" s="45" customFormat="1" ht="10.5">
      <c r="A101" s="176" t="str">
        <f>D90</f>
        <v>Продукт 1</v>
      </c>
      <c r="B101" s="177"/>
      <c r="C101" s="177"/>
      <c r="D101" s="177"/>
      <c r="E101" s="178"/>
      <c r="F101" s="179">
        <f aca="true" t="shared" si="33" ref="F101:Q101">SUM(F91:F100)</f>
        <v>0</v>
      </c>
      <c r="G101" s="179">
        <f t="shared" si="33"/>
        <v>0</v>
      </c>
      <c r="H101" s="179">
        <f t="shared" si="33"/>
        <v>0</v>
      </c>
      <c r="I101" s="179">
        <f t="shared" si="33"/>
        <v>0</v>
      </c>
      <c r="J101" s="179">
        <f t="shared" si="33"/>
        <v>0</v>
      </c>
      <c r="K101" s="179">
        <f t="shared" si="33"/>
        <v>0</v>
      </c>
      <c r="L101" s="179">
        <f t="shared" si="33"/>
        <v>0</v>
      </c>
      <c r="M101" s="179">
        <f t="shared" si="33"/>
        <v>0</v>
      </c>
      <c r="N101" s="179">
        <f t="shared" si="33"/>
        <v>0</v>
      </c>
      <c r="O101" s="179">
        <f t="shared" si="33"/>
        <v>0</v>
      </c>
      <c r="P101" s="179">
        <f t="shared" si="33"/>
        <v>0</v>
      </c>
      <c r="Q101" s="180">
        <f t="shared" si="33"/>
        <v>0</v>
      </c>
    </row>
    <row r="102" spans="1:17" ht="11.25" thickBot="1">
      <c r="A102" s="90"/>
      <c r="B102" s="90"/>
      <c r="C102" s="90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 ht="21">
      <c r="A103" s="80" t="s">
        <v>0</v>
      </c>
      <c r="B103" s="55" t="s">
        <v>90</v>
      </c>
      <c r="C103" s="171" t="s">
        <v>251</v>
      </c>
      <c r="D103" s="172" t="str">
        <f>VLOOKUP(C103,Классификаторы!$A$71:$B$92,2,0)</f>
        <v>Продукт 2</v>
      </c>
      <c r="E103" s="173" t="s">
        <v>94</v>
      </c>
      <c r="F103" s="173">
        <v>39448</v>
      </c>
      <c r="G103" s="173">
        <v>39479</v>
      </c>
      <c r="H103" s="173">
        <v>39508</v>
      </c>
      <c r="I103" s="173">
        <v>39539</v>
      </c>
      <c r="J103" s="173">
        <v>39569</v>
      </c>
      <c r="K103" s="173">
        <v>39600</v>
      </c>
      <c r="L103" s="173">
        <v>39630</v>
      </c>
      <c r="M103" s="173">
        <v>39661</v>
      </c>
      <c r="N103" s="173">
        <v>39692</v>
      </c>
      <c r="O103" s="173">
        <v>39722</v>
      </c>
      <c r="P103" s="173">
        <v>39753</v>
      </c>
      <c r="Q103" s="173">
        <v>39783</v>
      </c>
    </row>
    <row r="104" spans="1:17" s="45" customFormat="1" ht="10.5">
      <c r="A104" s="242"/>
      <c r="B104" s="16" t="s">
        <v>402</v>
      </c>
      <c r="C104" s="131" t="s">
        <v>374</v>
      </c>
      <c r="D104" s="431">
        <f>SUMIF('Технологическая карта 2 (вспом)'!$C$128:$C$136,'Закупки сырья'!B104,'Технологическая карта 2 (вспом)'!$L$128:$L$136)</f>
        <v>0</v>
      </c>
      <c r="E104" s="431">
        <f>SUMIF('Закупки сырья'!$A$35:$A$43,B104,'Закупки сырья'!$B$35:$B$43)</f>
        <v>0</v>
      </c>
      <c r="F104" s="431">
        <f>$D104*$E104*'Закупки сырья'!C$35</f>
        <v>0</v>
      </c>
      <c r="G104" s="431">
        <f>$D104*$E104*'Закупки сырья'!D$35</f>
        <v>0</v>
      </c>
      <c r="H104" s="431">
        <f>$D104*$E104*'Закупки сырья'!E$35</f>
        <v>0</v>
      </c>
      <c r="I104" s="431">
        <f>$D104*$E104*'Закупки сырья'!F$35</f>
        <v>0</v>
      </c>
      <c r="J104" s="431">
        <f>$D104*$E104*'Закупки сырья'!G$35</f>
        <v>0</v>
      </c>
      <c r="K104" s="431">
        <f>$D104*$E104*'Закупки сырья'!H$35</f>
        <v>0</v>
      </c>
      <c r="L104" s="431">
        <f>$D104*$E104*'Закупки сырья'!I$35</f>
        <v>0</v>
      </c>
      <c r="M104" s="431">
        <f>$D104*$E104*'Закупки сырья'!J$35</f>
        <v>0</v>
      </c>
      <c r="N104" s="431">
        <f>$D104*$E104*'Закупки сырья'!K$35</f>
        <v>0</v>
      </c>
      <c r="O104" s="431">
        <f>$D104*$E104*'Закупки сырья'!L$35</f>
        <v>0</v>
      </c>
      <c r="P104" s="431">
        <f>$D104*$E104*'Закупки сырья'!M$35</f>
        <v>0</v>
      </c>
      <c r="Q104" s="432">
        <f>$D104*$E104*'Закупки сырья'!N$35</f>
        <v>0</v>
      </c>
    </row>
    <row r="105" spans="1:17" ht="10.5">
      <c r="A105" s="174"/>
      <c r="B105" s="16" t="s">
        <v>403</v>
      </c>
      <c r="C105" s="131" t="s">
        <v>374</v>
      </c>
      <c r="D105" s="175">
        <f>SUMIF('Технологическая карта 2 (вспом)'!$C$128:$C$136,'Закупки сырья'!B105,'Технологическая карта 2 (вспом)'!$L$128:$L$136)</f>
        <v>0</v>
      </c>
      <c r="E105" s="175">
        <f>SUMIF('Закупки сырья'!$A$35:$A$43,B105,'Закупки сырья'!$B$35:$B$43)</f>
        <v>0</v>
      </c>
      <c r="F105" s="175">
        <f>$D105*$E105*'Закупки сырья'!C$36</f>
        <v>0</v>
      </c>
      <c r="G105" s="175">
        <f>$D105*$E105*'Закупки сырья'!D$36</f>
        <v>0</v>
      </c>
      <c r="H105" s="175">
        <f>$D105*$E105*'Закупки сырья'!E$36</f>
        <v>0</v>
      </c>
      <c r="I105" s="175">
        <f>$D105*$E105*'Закупки сырья'!F$36</f>
        <v>0</v>
      </c>
      <c r="J105" s="175">
        <f>$D105*$E105*'Закупки сырья'!G$36</f>
        <v>0</v>
      </c>
      <c r="K105" s="175">
        <f>$D105*$E105*'Закупки сырья'!H$36</f>
        <v>0</v>
      </c>
      <c r="L105" s="175">
        <f>$D105*$E105*'Закупки сырья'!I$36</f>
        <v>0</v>
      </c>
      <c r="M105" s="175">
        <f>$D105*$E105*'Закупки сырья'!J$36</f>
        <v>0</v>
      </c>
      <c r="N105" s="175">
        <f>$D105*$E105*'Закупки сырья'!K$36</f>
        <v>0</v>
      </c>
      <c r="O105" s="175">
        <f>$D105*$E105*'Закупки сырья'!L$36</f>
        <v>0</v>
      </c>
      <c r="P105" s="175">
        <f>$D105*$E105*'Закупки сырья'!M$36</f>
        <v>0</v>
      </c>
      <c r="Q105" s="433">
        <f>$D105*$E105*'Закупки сырья'!N$36</f>
        <v>0</v>
      </c>
    </row>
    <row r="106" spans="1:17" ht="10.5">
      <c r="A106" s="174"/>
      <c r="B106" s="16" t="s">
        <v>404</v>
      </c>
      <c r="C106" s="131" t="s">
        <v>374</v>
      </c>
      <c r="D106" s="175">
        <f>SUMIF('Технологическая карта 2 (вспом)'!$C$128:$C$136,'Закупки сырья'!B106,'Технологическая карта 2 (вспом)'!$L$128:$L$136)</f>
        <v>0</v>
      </c>
      <c r="E106" s="175">
        <f>SUMIF('Закупки сырья'!$A$35:$A$43,B106,'Закупки сырья'!$B$35:$B$43)</f>
        <v>0</v>
      </c>
      <c r="F106" s="175">
        <f>$D106*$E106*'Закупки сырья'!C$37</f>
        <v>0</v>
      </c>
      <c r="G106" s="175">
        <f>$D106*$E106*'Закупки сырья'!D$37</f>
        <v>0</v>
      </c>
      <c r="H106" s="175">
        <f>$D106*$E106*'Закупки сырья'!E$37</f>
        <v>0</v>
      </c>
      <c r="I106" s="175">
        <f>$D106*$E106*'Закупки сырья'!F$37</f>
        <v>0</v>
      </c>
      <c r="J106" s="175">
        <f>$D106*$E106*'Закупки сырья'!G$37</f>
        <v>0</v>
      </c>
      <c r="K106" s="175">
        <f>$D106*$E106*'Закупки сырья'!H$37</f>
        <v>0</v>
      </c>
      <c r="L106" s="175">
        <f>$D106*$E106*'Закупки сырья'!I$37</f>
        <v>0</v>
      </c>
      <c r="M106" s="175">
        <f>$D106*$E106*'Закупки сырья'!J$37</f>
        <v>0</v>
      </c>
      <c r="N106" s="175">
        <f>$D106*$E106*'Закупки сырья'!K$37</f>
        <v>0</v>
      </c>
      <c r="O106" s="175">
        <f>$D106*$E106*'Закупки сырья'!L$37</f>
        <v>0</v>
      </c>
      <c r="P106" s="175">
        <f>$D106*$E106*'Закупки сырья'!M$37</f>
        <v>0</v>
      </c>
      <c r="Q106" s="433">
        <f>$D106*$E106*'Закупки сырья'!N$37</f>
        <v>0</v>
      </c>
    </row>
    <row r="107" spans="1:17" ht="10.5">
      <c r="A107" s="174"/>
      <c r="B107" s="16" t="s">
        <v>405</v>
      </c>
      <c r="C107" s="131" t="s">
        <v>374</v>
      </c>
      <c r="D107" s="175">
        <f>SUMIF('Технологическая карта 2 (вспом)'!$C$128:$C$136,'Закупки сырья'!B107,'Технологическая карта 2 (вспом)'!$L$128:$L$136)</f>
        <v>0</v>
      </c>
      <c r="E107" s="175">
        <f>SUMIF('Закупки сырья'!$A$35:$A$43,B107,'Закупки сырья'!$B$35:$B$43)</f>
        <v>0</v>
      </c>
      <c r="F107" s="175">
        <f>$D107*$E107*'Закупки сырья'!C$38</f>
        <v>0</v>
      </c>
      <c r="G107" s="175">
        <f>$D107*$E107*'Закупки сырья'!D$38</f>
        <v>0</v>
      </c>
      <c r="H107" s="175">
        <f>$D107*$E107*'Закупки сырья'!E$38</f>
        <v>0</v>
      </c>
      <c r="I107" s="175">
        <f>$D107*$E107*'Закупки сырья'!F$38</f>
        <v>0</v>
      </c>
      <c r="J107" s="175">
        <f>$D107*$E107*'Закупки сырья'!G$38</f>
        <v>0</v>
      </c>
      <c r="K107" s="175">
        <f>$D107*$E107*'Закупки сырья'!H$38</f>
        <v>0</v>
      </c>
      <c r="L107" s="175">
        <f>$D107*$E107*'Закупки сырья'!I$38</f>
        <v>0</v>
      </c>
      <c r="M107" s="175">
        <f>$D107*$E107*'Закупки сырья'!J$38</f>
        <v>0</v>
      </c>
      <c r="N107" s="175">
        <f>$D107*$E107*'Закупки сырья'!K$38</f>
        <v>0</v>
      </c>
      <c r="O107" s="175">
        <f>$D107*$E107*'Закупки сырья'!L$38</f>
        <v>0</v>
      </c>
      <c r="P107" s="175">
        <f>$D107*$E107*'Закупки сырья'!M$38</f>
        <v>0</v>
      </c>
      <c r="Q107" s="433">
        <f>$D107*$E107*'Закупки сырья'!N$38</f>
        <v>0</v>
      </c>
    </row>
    <row r="108" spans="1:17" ht="10.5">
      <c r="A108" s="174"/>
      <c r="B108" s="16" t="s">
        <v>406</v>
      </c>
      <c r="C108" s="131" t="s">
        <v>374</v>
      </c>
      <c r="D108" s="175">
        <f>SUMIF('Технологическая карта 2 (вспом)'!$C$128:$C$136,'Закупки сырья'!B108,'Технологическая карта 2 (вспом)'!$L$128:$L$136)</f>
        <v>0</v>
      </c>
      <c r="E108" s="175">
        <f>SUMIF('Закупки сырья'!$A$35:$A$43,B108,'Закупки сырья'!$B$35:$B$43)</f>
        <v>0</v>
      </c>
      <c r="F108" s="175">
        <f>$D108*$E108*'Закупки сырья'!C$39</f>
        <v>0</v>
      </c>
      <c r="G108" s="175">
        <f>$D108*$E108*'Закупки сырья'!D$39</f>
        <v>0</v>
      </c>
      <c r="H108" s="175">
        <f>$D108*$E108*'Закупки сырья'!E$39</f>
        <v>0</v>
      </c>
      <c r="I108" s="175">
        <f>$D108*$E108*'Закупки сырья'!F$39</f>
        <v>0</v>
      </c>
      <c r="J108" s="175">
        <f>$D108*$E108*'Закупки сырья'!G$39</f>
        <v>0</v>
      </c>
      <c r="K108" s="175">
        <f>$D108*$E108*'Закупки сырья'!H$39</f>
        <v>0</v>
      </c>
      <c r="L108" s="175">
        <f>$D108*$E108*'Закупки сырья'!I$39</f>
        <v>0</v>
      </c>
      <c r="M108" s="175">
        <f>$D108*$E108*'Закупки сырья'!J$39</f>
        <v>0</v>
      </c>
      <c r="N108" s="175">
        <f>$D108*$E108*'Закупки сырья'!K$39</f>
        <v>0</v>
      </c>
      <c r="O108" s="175">
        <f>$D108*$E108*'Закупки сырья'!L$39</f>
        <v>0</v>
      </c>
      <c r="P108" s="175">
        <f>$D108*$E108*'Закупки сырья'!M$39</f>
        <v>0</v>
      </c>
      <c r="Q108" s="433">
        <f>$D108*$E108*'Закупки сырья'!N$39</f>
        <v>0</v>
      </c>
    </row>
    <row r="109" spans="1:17" ht="10.5">
      <c r="A109" s="174"/>
      <c r="B109" s="16" t="s">
        <v>407</v>
      </c>
      <c r="C109" s="131" t="s">
        <v>374</v>
      </c>
      <c r="D109" s="175">
        <f>SUMIF('Технологическая карта 2 (вспом)'!$C$128:$C$136,'Закупки сырья'!B109,'Технологическая карта 2 (вспом)'!$L$128:$L$136)</f>
        <v>0</v>
      </c>
      <c r="E109" s="175">
        <f>SUMIF('Закупки сырья'!$A$35:$A$43,B109,'Закупки сырья'!$B$35:$B$43)</f>
        <v>0</v>
      </c>
      <c r="F109" s="175">
        <f>$D109*$E109*'Закупки сырья'!C$40</f>
        <v>0</v>
      </c>
      <c r="G109" s="175">
        <f>$D109*$E109*'Закупки сырья'!D$40</f>
        <v>0</v>
      </c>
      <c r="H109" s="175">
        <f>$D109*$E109*'Закупки сырья'!E$40</f>
        <v>0</v>
      </c>
      <c r="I109" s="175">
        <f>$D109*$E109*'Закупки сырья'!F$40</f>
        <v>0</v>
      </c>
      <c r="J109" s="175">
        <f>$D109*$E109*'Закупки сырья'!G$40</f>
        <v>0</v>
      </c>
      <c r="K109" s="175">
        <f>$D109*$E109*'Закупки сырья'!H$40</f>
        <v>0</v>
      </c>
      <c r="L109" s="175">
        <f>$D109*$E109*'Закупки сырья'!I$40</f>
        <v>0</v>
      </c>
      <c r="M109" s="175">
        <f>$D109*$E109*'Закупки сырья'!J$40</f>
        <v>0</v>
      </c>
      <c r="N109" s="175">
        <f>$D109*$E109*'Закупки сырья'!K$40</f>
        <v>0</v>
      </c>
      <c r="O109" s="175">
        <f>$D109*$E109*'Закупки сырья'!L$40</f>
        <v>0</v>
      </c>
      <c r="P109" s="175">
        <f>$D109*$E109*'Закупки сырья'!M$40</f>
        <v>0</v>
      </c>
      <c r="Q109" s="433">
        <f>$D109*$E109*'Закупки сырья'!N$40</f>
        <v>0</v>
      </c>
    </row>
    <row r="110" spans="1:17" ht="10.5">
      <c r="A110" s="174"/>
      <c r="B110" s="16" t="s">
        <v>408</v>
      </c>
      <c r="C110" s="131" t="s">
        <v>374</v>
      </c>
      <c r="D110" s="175">
        <f>SUMIF('Технологическая карта 2 (вспом)'!$C$128:$C$136,'Закупки сырья'!B110,'Технологическая карта 2 (вспом)'!$L$128:$L$136)</f>
        <v>0</v>
      </c>
      <c r="E110" s="175">
        <f>SUMIF('Закупки сырья'!$A$35:$A$43,B110,'Закупки сырья'!$B$35:$B$43)</f>
        <v>0</v>
      </c>
      <c r="F110" s="175">
        <f>$D110*$E110*'Закупки сырья'!C$41</f>
        <v>0</v>
      </c>
      <c r="G110" s="175">
        <f>$D110*$E110*'Закупки сырья'!D$41</f>
        <v>0</v>
      </c>
      <c r="H110" s="175">
        <f>$D110*$E110*'Закупки сырья'!E$41</f>
        <v>0</v>
      </c>
      <c r="I110" s="175">
        <f>$D110*$E110*'Закупки сырья'!F$41</f>
        <v>0</v>
      </c>
      <c r="J110" s="175">
        <f>$D110*$E110*'Закупки сырья'!G$41</f>
        <v>0</v>
      </c>
      <c r="K110" s="175">
        <f>$D110*$E110*'Закупки сырья'!H$41</f>
        <v>0</v>
      </c>
      <c r="L110" s="175">
        <f>$D110*$E110*'Закупки сырья'!I$41</f>
        <v>0</v>
      </c>
      <c r="M110" s="175">
        <f>$D110*$E110*'Закупки сырья'!J$41</f>
        <v>0</v>
      </c>
      <c r="N110" s="175">
        <f>$D110*$E110*'Закупки сырья'!K$41</f>
        <v>0</v>
      </c>
      <c r="O110" s="175">
        <f>$D110*$E110*'Закупки сырья'!L$41</f>
        <v>0</v>
      </c>
      <c r="P110" s="175">
        <f>$D110*$E110*'Закупки сырья'!M$41</f>
        <v>0</v>
      </c>
      <c r="Q110" s="433">
        <f>$D110*$E110*'Закупки сырья'!N$41</f>
        <v>0</v>
      </c>
    </row>
    <row r="111" spans="1:17" ht="10.5">
      <c r="A111" s="174"/>
      <c r="B111" s="16" t="s">
        <v>409</v>
      </c>
      <c r="C111" s="131" t="s">
        <v>374</v>
      </c>
      <c r="D111" s="175">
        <f>SUMIF('Технологическая карта 2 (вспом)'!$C$128:$C$136,'Закупки сырья'!B111,'Технологическая карта 2 (вспом)'!$L$128:$L$136)</f>
        <v>0</v>
      </c>
      <c r="E111" s="175">
        <f>SUMIF('Закупки сырья'!$A$35:$A$43,B111,'Закупки сырья'!$B$35:$B$43)</f>
        <v>0</v>
      </c>
      <c r="F111" s="175">
        <f>$D111*$E111*'Закупки сырья'!C$42</f>
        <v>0</v>
      </c>
      <c r="G111" s="175">
        <f>$D111*$E111*'Закупки сырья'!D$42</f>
        <v>0</v>
      </c>
      <c r="H111" s="175">
        <f>$D111*$E111*'Закупки сырья'!E$42</f>
        <v>0</v>
      </c>
      <c r="I111" s="175">
        <f>$D111*$E111*'Закупки сырья'!F$42</f>
        <v>0</v>
      </c>
      <c r="J111" s="175">
        <f>$D111*$E111*'Закупки сырья'!G$42</f>
        <v>0</v>
      </c>
      <c r="K111" s="175">
        <f>$D111*$E111*'Закупки сырья'!H$42</f>
        <v>0</v>
      </c>
      <c r="L111" s="175">
        <f>$D111*$E111*'Закупки сырья'!I$42</f>
        <v>0</v>
      </c>
      <c r="M111" s="175">
        <f>$D111*$E111*'Закупки сырья'!J$42</f>
        <v>0</v>
      </c>
      <c r="N111" s="175">
        <f>$D111*$E111*'Закупки сырья'!K$42</f>
        <v>0</v>
      </c>
      <c r="O111" s="175">
        <f>$D111*$E111*'Закупки сырья'!L$42</f>
        <v>0</v>
      </c>
      <c r="P111" s="175">
        <f>$D111*$E111*'Закупки сырья'!M$42</f>
        <v>0</v>
      </c>
      <c r="Q111" s="433">
        <f>$D111*$E111*'Закупки сырья'!N$42</f>
        <v>0</v>
      </c>
    </row>
    <row r="112" spans="1:17" ht="10.5">
      <c r="A112" s="174"/>
      <c r="B112" s="16" t="s">
        <v>410</v>
      </c>
      <c r="C112" s="131" t="s">
        <v>374</v>
      </c>
      <c r="D112" s="175">
        <f>SUMIF('Технологическая карта 2 (вспом)'!$C$128:$C$136,'Закупки сырья'!B112,'Технологическая карта 2 (вспом)'!$L$128:$L$136)</f>
        <v>0</v>
      </c>
      <c r="E112" s="175">
        <f>SUMIF('Закупки сырья'!$A$35:$A$43,B112,'Закупки сырья'!$B$35:$B$43)</f>
        <v>0</v>
      </c>
      <c r="F112" s="175">
        <f>$D112*$E112*'Закупки сырья'!C$43</f>
        <v>0</v>
      </c>
      <c r="G112" s="175">
        <f>$D112*$E112*'Закупки сырья'!D$43</f>
        <v>0</v>
      </c>
      <c r="H112" s="175">
        <f>$D112*$E112*'Закупки сырья'!E$43</f>
        <v>0</v>
      </c>
      <c r="I112" s="175">
        <f>$D112*$E112*'Закупки сырья'!F$43</f>
        <v>0</v>
      </c>
      <c r="J112" s="175">
        <f>$D112*$E112*'Закупки сырья'!G$43</f>
        <v>0</v>
      </c>
      <c r="K112" s="175">
        <f>$D112*$E112*'Закупки сырья'!H$43</f>
        <v>0</v>
      </c>
      <c r="L112" s="175">
        <f>$D112*$E112*'Закупки сырья'!I$43</f>
        <v>0</v>
      </c>
      <c r="M112" s="175">
        <f>$D112*$E112*'Закупки сырья'!J$43</f>
        <v>0</v>
      </c>
      <c r="N112" s="175">
        <f>$D112*$E112*'Закупки сырья'!K$43</f>
        <v>0</v>
      </c>
      <c r="O112" s="175">
        <f>$D112*$E112*'Закупки сырья'!L$43</f>
        <v>0</v>
      </c>
      <c r="P112" s="175">
        <f>$D112*$E112*'Закупки сырья'!M$43</f>
        <v>0</v>
      </c>
      <c r="Q112" s="433">
        <f>$D112*$E112*'Закупки сырья'!N$43</f>
        <v>0</v>
      </c>
    </row>
    <row r="113" spans="1:19" ht="10.5">
      <c r="A113" s="244"/>
      <c r="B113" s="438" t="s">
        <v>64</v>
      </c>
      <c r="C113" s="138"/>
      <c r="D113" s="347" t="s">
        <v>342</v>
      </c>
      <c r="E113" s="347" t="s">
        <v>342</v>
      </c>
      <c r="F113" s="347" t="s">
        <v>342</v>
      </c>
      <c r="G113" s="347" t="s">
        <v>342</v>
      </c>
      <c r="H113" s="347" t="s">
        <v>342</v>
      </c>
      <c r="I113" s="347" t="s">
        <v>342</v>
      </c>
      <c r="J113" s="347" t="s">
        <v>342</v>
      </c>
      <c r="K113" s="347" t="s">
        <v>342</v>
      </c>
      <c r="L113" s="347" t="s">
        <v>342</v>
      </c>
      <c r="M113" s="347" t="s">
        <v>342</v>
      </c>
      <c r="N113" s="347" t="s">
        <v>342</v>
      </c>
      <c r="O113" s="347" t="s">
        <v>342</v>
      </c>
      <c r="P113" s="347" t="s">
        <v>342</v>
      </c>
      <c r="Q113" s="406" t="s">
        <v>342</v>
      </c>
      <c r="R113" s="45"/>
      <c r="S113" s="45"/>
    </row>
    <row r="114" spans="1:17" ht="10.5">
      <c r="A114" s="436" t="str">
        <f>D103</f>
        <v>Продукт 2</v>
      </c>
      <c r="B114" s="183"/>
      <c r="C114" s="184"/>
      <c r="D114" s="185"/>
      <c r="E114" s="185"/>
      <c r="F114" s="186">
        <f aca="true" t="shared" si="34" ref="F114:Q114">SUM(F104:F113)</f>
        <v>0</v>
      </c>
      <c r="G114" s="186">
        <f t="shared" si="34"/>
        <v>0</v>
      </c>
      <c r="H114" s="186">
        <f t="shared" si="34"/>
        <v>0</v>
      </c>
      <c r="I114" s="186">
        <f t="shared" si="34"/>
        <v>0</v>
      </c>
      <c r="J114" s="186">
        <f t="shared" si="34"/>
        <v>0</v>
      </c>
      <c r="K114" s="186">
        <f t="shared" si="34"/>
        <v>0</v>
      </c>
      <c r="L114" s="186">
        <f t="shared" si="34"/>
        <v>0</v>
      </c>
      <c r="M114" s="186">
        <f t="shared" si="34"/>
        <v>0</v>
      </c>
      <c r="N114" s="186">
        <f t="shared" si="34"/>
        <v>0</v>
      </c>
      <c r="O114" s="186">
        <f t="shared" si="34"/>
        <v>0</v>
      </c>
      <c r="P114" s="186">
        <f t="shared" si="34"/>
        <v>0</v>
      </c>
      <c r="Q114" s="437">
        <f t="shared" si="34"/>
        <v>0</v>
      </c>
    </row>
    <row r="115" ht="11.25" thickBot="1"/>
    <row r="116" spans="1:17" ht="21">
      <c r="A116" s="80" t="s">
        <v>0</v>
      </c>
      <c r="B116" s="55" t="s">
        <v>90</v>
      </c>
      <c r="C116" s="171" t="s">
        <v>252</v>
      </c>
      <c r="D116" s="172" t="str">
        <f>VLOOKUP(C116,Классификаторы!$A$71:$B$92,2,0)</f>
        <v>Продукт 3</v>
      </c>
      <c r="E116" s="173" t="s">
        <v>94</v>
      </c>
      <c r="F116" s="173">
        <v>39448</v>
      </c>
      <c r="G116" s="173">
        <v>39479</v>
      </c>
      <c r="H116" s="173">
        <v>39508</v>
      </c>
      <c r="I116" s="173">
        <v>39539</v>
      </c>
      <c r="J116" s="173">
        <v>39569</v>
      </c>
      <c r="K116" s="173">
        <v>39600</v>
      </c>
      <c r="L116" s="173">
        <v>39630</v>
      </c>
      <c r="M116" s="173">
        <v>39661</v>
      </c>
      <c r="N116" s="173">
        <v>39692</v>
      </c>
      <c r="O116" s="173">
        <v>39722</v>
      </c>
      <c r="P116" s="173">
        <v>39753</v>
      </c>
      <c r="Q116" s="173">
        <v>39783</v>
      </c>
    </row>
    <row r="117" spans="1:17" s="45" customFormat="1" ht="10.5">
      <c r="A117" s="242"/>
      <c r="B117" s="16" t="s">
        <v>402</v>
      </c>
      <c r="C117" s="131" t="s">
        <v>374</v>
      </c>
      <c r="D117" s="431">
        <f>SUMIF('Технологическая карта 2 (вспом)'!$C$128:$C$136,'Закупки сырья'!B117,'Технологическая карта 2 (вспом)'!$T$128:$T$136)</f>
        <v>0</v>
      </c>
      <c r="E117" s="431">
        <f>SUMIF('Закупки сырья'!$A$35:$A$43,B117,'Закупки сырья'!$B$35:$B$43)</f>
        <v>0</v>
      </c>
      <c r="F117" s="431">
        <f>$D117*$E117*'Закупки сырья'!C$35</f>
        <v>0</v>
      </c>
      <c r="G117" s="431">
        <f>$D117*$E117*'Закупки сырья'!D$35</f>
        <v>0</v>
      </c>
      <c r="H117" s="431">
        <f>$D117*$E117*'Закупки сырья'!E$35</f>
        <v>0</v>
      </c>
      <c r="I117" s="431">
        <f>$D117*$E117*'Закупки сырья'!F$35</f>
        <v>0</v>
      </c>
      <c r="J117" s="431">
        <f>$D117*$E117*'Закупки сырья'!G$35</f>
        <v>0</v>
      </c>
      <c r="K117" s="431">
        <f>$D117*$E117*'Закупки сырья'!H$35</f>
        <v>0</v>
      </c>
      <c r="L117" s="431">
        <f>$D117*$E117*'Закупки сырья'!I$35</f>
        <v>0</v>
      </c>
      <c r="M117" s="431">
        <f>$D117*$E117*'Закупки сырья'!J$35</f>
        <v>0</v>
      </c>
      <c r="N117" s="431">
        <f>$D117*$E117*'Закупки сырья'!K$35</f>
        <v>0</v>
      </c>
      <c r="O117" s="431">
        <f>$D117*$E117*'Закупки сырья'!L$35</f>
        <v>0</v>
      </c>
      <c r="P117" s="431">
        <f>$D117*$E117*'Закупки сырья'!M$35</f>
        <v>0</v>
      </c>
      <c r="Q117" s="432">
        <f>$D117*$E117*'Закупки сырья'!N$35</f>
        <v>0</v>
      </c>
    </row>
    <row r="118" spans="1:17" ht="10.5">
      <c r="A118" s="174"/>
      <c r="B118" s="16" t="s">
        <v>403</v>
      </c>
      <c r="C118" s="131" t="s">
        <v>374</v>
      </c>
      <c r="D118" s="175">
        <f>SUMIF('Технологическая карта 2 (вспом)'!$C$128:$C$136,'Закупки сырья'!B118,'Технологическая карта 2 (вспом)'!$T$128:$T$136)</f>
        <v>0</v>
      </c>
      <c r="E118" s="175">
        <f>SUMIF('Закупки сырья'!$A$35:$A$43,B118,'Закупки сырья'!$B$35:$B$43)</f>
        <v>0</v>
      </c>
      <c r="F118" s="175">
        <f>$D118*$E118*'Закупки сырья'!C$36</f>
        <v>0</v>
      </c>
      <c r="G118" s="175">
        <f>$D118*$E118*'Закупки сырья'!D$36</f>
        <v>0</v>
      </c>
      <c r="H118" s="175">
        <f>$D118*$E118*'Закупки сырья'!E$36</f>
        <v>0</v>
      </c>
      <c r="I118" s="175">
        <f>$D118*$E118*'Закупки сырья'!F$36</f>
        <v>0</v>
      </c>
      <c r="J118" s="175">
        <f>$D118*$E118*'Закупки сырья'!G$36</f>
        <v>0</v>
      </c>
      <c r="K118" s="175">
        <f>$D118*$E118*'Закупки сырья'!H$36</f>
        <v>0</v>
      </c>
      <c r="L118" s="175">
        <f>$D118*$E118*'Закупки сырья'!I$36</f>
        <v>0</v>
      </c>
      <c r="M118" s="175">
        <f>$D118*$E118*'Закупки сырья'!J$36</f>
        <v>0</v>
      </c>
      <c r="N118" s="175">
        <f>$D118*$E118*'Закупки сырья'!K$36</f>
        <v>0</v>
      </c>
      <c r="O118" s="175">
        <f>$D118*$E118*'Закупки сырья'!L$36</f>
        <v>0</v>
      </c>
      <c r="P118" s="175">
        <f>$D118*$E118*'Закупки сырья'!M$36</f>
        <v>0</v>
      </c>
      <c r="Q118" s="433">
        <f>$D118*$E118*'Закупки сырья'!N$36</f>
        <v>0</v>
      </c>
    </row>
    <row r="119" spans="1:17" ht="10.5">
      <c r="A119" s="174"/>
      <c r="B119" s="16" t="s">
        <v>404</v>
      </c>
      <c r="C119" s="131" t="s">
        <v>374</v>
      </c>
      <c r="D119" s="175">
        <f>SUMIF('Технологическая карта 2 (вспом)'!$C$128:$C$136,'Закупки сырья'!B119,'Технологическая карта 2 (вспом)'!$T$128:$T$136)</f>
        <v>0</v>
      </c>
      <c r="E119" s="175">
        <f>SUMIF('Закупки сырья'!$A$35:$A$43,B119,'Закупки сырья'!$B$35:$B$43)</f>
        <v>0</v>
      </c>
      <c r="F119" s="175">
        <f>$D119*$E119*'Закупки сырья'!C$37</f>
        <v>0</v>
      </c>
      <c r="G119" s="175">
        <f>$D119*$E119*'Закупки сырья'!D$37</f>
        <v>0</v>
      </c>
      <c r="H119" s="175">
        <f>$D119*$E119*'Закупки сырья'!E$37</f>
        <v>0</v>
      </c>
      <c r="I119" s="175">
        <f>$D119*$E119*'Закупки сырья'!F$37</f>
        <v>0</v>
      </c>
      <c r="J119" s="175">
        <f>$D119*$E119*'Закупки сырья'!G$37</f>
        <v>0</v>
      </c>
      <c r="K119" s="175">
        <f>$D119*$E119*'Закупки сырья'!H$37</f>
        <v>0</v>
      </c>
      <c r="L119" s="175">
        <f>$D119*$E119*'Закупки сырья'!I$37</f>
        <v>0</v>
      </c>
      <c r="M119" s="175">
        <f>$D119*$E119*'Закупки сырья'!J$37</f>
        <v>0</v>
      </c>
      <c r="N119" s="175">
        <f>$D119*$E119*'Закупки сырья'!K$37</f>
        <v>0</v>
      </c>
      <c r="O119" s="175">
        <f>$D119*$E119*'Закупки сырья'!L$37</f>
        <v>0</v>
      </c>
      <c r="P119" s="175">
        <f>$D119*$E119*'Закупки сырья'!M$37</f>
        <v>0</v>
      </c>
      <c r="Q119" s="433">
        <f>$D119*$E119*'Закупки сырья'!N$37</f>
        <v>0</v>
      </c>
    </row>
    <row r="120" spans="1:17" ht="10.5">
      <c r="A120" s="174"/>
      <c r="B120" s="16" t="s">
        <v>405</v>
      </c>
      <c r="C120" s="131" t="s">
        <v>374</v>
      </c>
      <c r="D120" s="175">
        <f>SUMIF('Технологическая карта 2 (вспом)'!$C$128:$C$136,'Закупки сырья'!B120,'Технологическая карта 2 (вспом)'!$T$128:$T$136)</f>
        <v>0</v>
      </c>
      <c r="E120" s="175">
        <f>SUMIF('Закупки сырья'!$A$35:$A$43,B120,'Закупки сырья'!$B$35:$B$43)</f>
        <v>0</v>
      </c>
      <c r="F120" s="175">
        <f>$D120*$E120*'Закупки сырья'!C$38</f>
        <v>0</v>
      </c>
      <c r="G120" s="175">
        <f>$D120*$E120*'Закупки сырья'!D$38</f>
        <v>0</v>
      </c>
      <c r="H120" s="175">
        <f>$D120*$E120*'Закупки сырья'!E$38</f>
        <v>0</v>
      </c>
      <c r="I120" s="175">
        <f>$D120*$E120*'Закупки сырья'!F$38</f>
        <v>0</v>
      </c>
      <c r="J120" s="175">
        <f>$D120*$E120*'Закупки сырья'!G$38</f>
        <v>0</v>
      </c>
      <c r="K120" s="175">
        <f>$D120*$E120*'Закупки сырья'!H$38</f>
        <v>0</v>
      </c>
      <c r="L120" s="175">
        <f>$D120*$E120*'Закупки сырья'!I$38</f>
        <v>0</v>
      </c>
      <c r="M120" s="175">
        <f>$D120*$E120*'Закупки сырья'!J$38</f>
        <v>0</v>
      </c>
      <c r="N120" s="175">
        <f>$D120*$E120*'Закупки сырья'!K$38</f>
        <v>0</v>
      </c>
      <c r="O120" s="175">
        <f>$D120*$E120*'Закупки сырья'!L$38</f>
        <v>0</v>
      </c>
      <c r="P120" s="175">
        <f>$D120*$E120*'Закупки сырья'!M$38</f>
        <v>0</v>
      </c>
      <c r="Q120" s="433">
        <f>$D120*$E120*'Закупки сырья'!N$38</f>
        <v>0</v>
      </c>
    </row>
    <row r="121" spans="1:17" ht="10.5">
      <c r="A121" s="174"/>
      <c r="B121" s="16" t="s">
        <v>406</v>
      </c>
      <c r="C121" s="131" t="s">
        <v>374</v>
      </c>
      <c r="D121" s="175">
        <f>SUMIF('Технологическая карта 2 (вспом)'!$C$128:$C$136,'Закупки сырья'!B121,'Технологическая карта 2 (вспом)'!$T$128:$T$136)</f>
        <v>0</v>
      </c>
      <c r="E121" s="175">
        <f>SUMIF('Закупки сырья'!$A$35:$A$43,B121,'Закупки сырья'!$B$35:$B$43)</f>
        <v>0</v>
      </c>
      <c r="F121" s="175">
        <f>$D121*$E121*'Закупки сырья'!C$39</f>
        <v>0</v>
      </c>
      <c r="G121" s="175">
        <f>$D121*$E121*'Закупки сырья'!D$39</f>
        <v>0</v>
      </c>
      <c r="H121" s="175">
        <f>$D121*$E121*'Закупки сырья'!E$39</f>
        <v>0</v>
      </c>
      <c r="I121" s="175">
        <f>$D121*$E121*'Закупки сырья'!F$39</f>
        <v>0</v>
      </c>
      <c r="J121" s="175">
        <f>$D121*$E121*'Закупки сырья'!G$39</f>
        <v>0</v>
      </c>
      <c r="K121" s="175">
        <f>$D121*$E121*'Закупки сырья'!H$39</f>
        <v>0</v>
      </c>
      <c r="L121" s="175">
        <f>$D121*$E121*'Закупки сырья'!I$39</f>
        <v>0</v>
      </c>
      <c r="M121" s="175">
        <f>$D121*$E121*'Закупки сырья'!J$39</f>
        <v>0</v>
      </c>
      <c r="N121" s="175">
        <f>$D121*$E121*'Закупки сырья'!K$39</f>
        <v>0</v>
      </c>
      <c r="O121" s="175">
        <f>$D121*$E121*'Закупки сырья'!L$39</f>
        <v>0</v>
      </c>
      <c r="P121" s="175">
        <f>$D121*$E121*'Закупки сырья'!M$39</f>
        <v>0</v>
      </c>
      <c r="Q121" s="433">
        <f>$D121*$E121*'Закупки сырья'!N$39</f>
        <v>0</v>
      </c>
    </row>
    <row r="122" spans="1:17" ht="10.5">
      <c r="A122" s="174"/>
      <c r="B122" s="16" t="s">
        <v>407</v>
      </c>
      <c r="C122" s="131" t="s">
        <v>374</v>
      </c>
      <c r="D122" s="175">
        <f>SUMIF('Технологическая карта 2 (вспом)'!$C$128:$C$136,'Закупки сырья'!B122,'Технологическая карта 2 (вспом)'!$T$128:$T$136)</f>
        <v>0</v>
      </c>
      <c r="E122" s="175">
        <f>SUMIF('Закупки сырья'!$A$35:$A$43,B122,'Закупки сырья'!$B$35:$B$43)</f>
        <v>0</v>
      </c>
      <c r="F122" s="175">
        <f>$D122*$E122*'Закупки сырья'!C$40</f>
        <v>0</v>
      </c>
      <c r="G122" s="175">
        <f>$D122*$E122*'Закупки сырья'!D$40</f>
        <v>0</v>
      </c>
      <c r="H122" s="175">
        <f>$D122*$E122*'Закупки сырья'!E$40</f>
        <v>0</v>
      </c>
      <c r="I122" s="175">
        <f>$D122*$E122*'Закупки сырья'!F$40</f>
        <v>0</v>
      </c>
      <c r="J122" s="175">
        <f>$D122*$E122*'Закупки сырья'!G$40</f>
        <v>0</v>
      </c>
      <c r="K122" s="175">
        <f>$D122*$E122*'Закупки сырья'!H$40</f>
        <v>0</v>
      </c>
      <c r="L122" s="175">
        <f>$D122*$E122*'Закупки сырья'!I$40</f>
        <v>0</v>
      </c>
      <c r="M122" s="175">
        <f>$D122*$E122*'Закупки сырья'!J$40</f>
        <v>0</v>
      </c>
      <c r="N122" s="175">
        <f>$D122*$E122*'Закупки сырья'!K$40</f>
        <v>0</v>
      </c>
      <c r="O122" s="175">
        <f>$D122*$E122*'Закупки сырья'!L$40</f>
        <v>0</v>
      </c>
      <c r="P122" s="175">
        <f>$D122*$E122*'Закупки сырья'!M$40</f>
        <v>0</v>
      </c>
      <c r="Q122" s="433">
        <f>$D122*$E122*'Закупки сырья'!N$40</f>
        <v>0</v>
      </c>
    </row>
    <row r="123" spans="1:17" ht="10.5">
      <c r="A123" s="174"/>
      <c r="B123" s="16" t="s">
        <v>408</v>
      </c>
      <c r="C123" s="131" t="s">
        <v>374</v>
      </c>
      <c r="D123" s="175">
        <f>SUMIF('Технологическая карта 2 (вспом)'!$C$128:$C$136,'Закупки сырья'!B123,'Технологическая карта 2 (вспом)'!$T$128:$T$136)</f>
        <v>0</v>
      </c>
      <c r="E123" s="175">
        <f>SUMIF('Закупки сырья'!$A$35:$A$43,B123,'Закупки сырья'!$B$35:$B$43)</f>
        <v>0</v>
      </c>
      <c r="F123" s="175">
        <f>$D123*$E123*'Закупки сырья'!C$41</f>
        <v>0</v>
      </c>
      <c r="G123" s="175">
        <f>$D123*$E123*'Закупки сырья'!D$41</f>
        <v>0</v>
      </c>
      <c r="H123" s="175">
        <f>$D123*$E123*'Закупки сырья'!E$41</f>
        <v>0</v>
      </c>
      <c r="I123" s="175">
        <f>$D123*$E123*'Закупки сырья'!F$41</f>
        <v>0</v>
      </c>
      <c r="J123" s="175">
        <f>$D123*$E123*'Закупки сырья'!G$41</f>
        <v>0</v>
      </c>
      <c r="K123" s="175">
        <f>$D123*$E123*'Закупки сырья'!H$41</f>
        <v>0</v>
      </c>
      <c r="L123" s="175">
        <f>$D123*$E123*'Закупки сырья'!I$41</f>
        <v>0</v>
      </c>
      <c r="M123" s="175">
        <f>$D123*$E123*'Закупки сырья'!J$41</f>
        <v>0</v>
      </c>
      <c r="N123" s="175">
        <f>$D123*$E123*'Закупки сырья'!K$41</f>
        <v>0</v>
      </c>
      <c r="O123" s="175">
        <f>$D123*$E123*'Закупки сырья'!L$41</f>
        <v>0</v>
      </c>
      <c r="P123" s="175">
        <f>$D123*$E123*'Закупки сырья'!M$41</f>
        <v>0</v>
      </c>
      <c r="Q123" s="433">
        <f>$D123*$E123*'Закупки сырья'!N$41</f>
        <v>0</v>
      </c>
    </row>
    <row r="124" spans="1:17" ht="10.5">
      <c r="A124" s="174"/>
      <c r="B124" s="16" t="s">
        <v>409</v>
      </c>
      <c r="C124" s="131" t="s">
        <v>374</v>
      </c>
      <c r="D124" s="175">
        <f>SUMIF('Технологическая карта 2 (вспом)'!$C$128:$C$136,'Закупки сырья'!B124,'Технологическая карта 2 (вспом)'!$T$128:$T$136)</f>
        <v>0</v>
      </c>
      <c r="E124" s="175">
        <f>SUMIF('Закупки сырья'!$A$35:$A$43,B124,'Закупки сырья'!$B$35:$B$43)</f>
        <v>0</v>
      </c>
      <c r="F124" s="175">
        <f>$D124*$E124*'Закупки сырья'!C$42</f>
        <v>0</v>
      </c>
      <c r="G124" s="175">
        <f>$D124*$E124*'Закупки сырья'!D$42</f>
        <v>0</v>
      </c>
      <c r="H124" s="175">
        <f>$D124*$E124*'Закупки сырья'!E$42</f>
        <v>0</v>
      </c>
      <c r="I124" s="175">
        <f>$D124*$E124*'Закупки сырья'!F$42</f>
        <v>0</v>
      </c>
      <c r="J124" s="175">
        <f>$D124*$E124*'Закупки сырья'!G$42</f>
        <v>0</v>
      </c>
      <c r="K124" s="175">
        <f>$D124*$E124*'Закупки сырья'!H$42</f>
        <v>0</v>
      </c>
      <c r="L124" s="175">
        <f>$D124*$E124*'Закупки сырья'!I$42</f>
        <v>0</v>
      </c>
      <c r="M124" s="175">
        <f>$D124*$E124*'Закупки сырья'!J$42</f>
        <v>0</v>
      </c>
      <c r="N124" s="175">
        <f>$D124*$E124*'Закупки сырья'!K$42</f>
        <v>0</v>
      </c>
      <c r="O124" s="175">
        <f>$D124*$E124*'Закупки сырья'!L$42</f>
        <v>0</v>
      </c>
      <c r="P124" s="175">
        <f>$D124*$E124*'Закупки сырья'!M$42</f>
        <v>0</v>
      </c>
      <c r="Q124" s="433">
        <f>$D124*$E124*'Закупки сырья'!N$42</f>
        <v>0</v>
      </c>
    </row>
    <row r="125" spans="1:17" ht="10.5">
      <c r="A125" s="174"/>
      <c r="B125" s="16" t="s">
        <v>410</v>
      </c>
      <c r="C125" s="131" t="s">
        <v>374</v>
      </c>
      <c r="D125" s="175">
        <f>SUMIF('Технологическая карта 2 (вспом)'!$C$128:$C$136,'Закупки сырья'!B125,'Технологическая карта 2 (вспом)'!$T$128:$T$136)</f>
        <v>0</v>
      </c>
      <c r="E125" s="175">
        <f>SUMIF('Закупки сырья'!$A$35:$A$43,B125,'Закупки сырья'!$B$35:$B$43)</f>
        <v>0</v>
      </c>
      <c r="F125" s="175">
        <f>$D125*$E125*'Закупки сырья'!C$43</f>
        <v>0</v>
      </c>
      <c r="G125" s="175">
        <f>$D125*$E125*'Закупки сырья'!D$43</f>
        <v>0</v>
      </c>
      <c r="H125" s="175">
        <f>$D125*$E125*'Закупки сырья'!E$43</f>
        <v>0</v>
      </c>
      <c r="I125" s="175">
        <f>$D125*$E125*'Закупки сырья'!F$43</f>
        <v>0</v>
      </c>
      <c r="J125" s="175">
        <f>$D125*$E125*'Закупки сырья'!G$43</f>
        <v>0</v>
      </c>
      <c r="K125" s="175">
        <f>$D125*$E125*'Закупки сырья'!H$43</f>
        <v>0</v>
      </c>
      <c r="L125" s="175">
        <f>$D125*$E125*'Закупки сырья'!I$43</f>
        <v>0</v>
      </c>
      <c r="M125" s="175">
        <f>$D125*$E125*'Закупки сырья'!J$43</f>
        <v>0</v>
      </c>
      <c r="N125" s="175">
        <f>$D125*$E125*'Закупки сырья'!K$43</f>
        <v>0</v>
      </c>
      <c r="O125" s="175">
        <f>$D125*$E125*'Закупки сырья'!L$43</f>
        <v>0</v>
      </c>
      <c r="P125" s="175">
        <f>$D125*$E125*'Закупки сырья'!M$43</f>
        <v>0</v>
      </c>
      <c r="Q125" s="433">
        <f>$D125*$E125*'Закупки сырья'!N$43</f>
        <v>0</v>
      </c>
    </row>
    <row r="126" spans="1:19" ht="10.5">
      <c r="A126" s="244"/>
      <c r="B126" s="438" t="s">
        <v>64</v>
      </c>
      <c r="C126" s="138"/>
      <c r="D126" s="347" t="s">
        <v>342</v>
      </c>
      <c r="E126" s="347" t="s">
        <v>342</v>
      </c>
      <c r="F126" s="347" t="s">
        <v>342</v>
      </c>
      <c r="G126" s="347" t="s">
        <v>342</v>
      </c>
      <c r="H126" s="347" t="s">
        <v>342</v>
      </c>
      <c r="I126" s="347" t="s">
        <v>342</v>
      </c>
      <c r="J126" s="347" t="s">
        <v>342</v>
      </c>
      <c r="K126" s="347" t="s">
        <v>342</v>
      </c>
      <c r="L126" s="347" t="s">
        <v>342</v>
      </c>
      <c r="M126" s="347" t="s">
        <v>342</v>
      </c>
      <c r="N126" s="347" t="s">
        <v>342</v>
      </c>
      <c r="O126" s="347" t="s">
        <v>342</v>
      </c>
      <c r="P126" s="347" t="s">
        <v>342</v>
      </c>
      <c r="Q126" s="406" t="s">
        <v>342</v>
      </c>
      <c r="R126" s="45"/>
      <c r="S126" s="45"/>
    </row>
    <row r="127" spans="1:17" ht="10.5">
      <c r="A127" s="182" t="str">
        <f>D116</f>
        <v>Продукт 3</v>
      </c>
      <c r="B127" s="183"/>
      <c r="C127" s="184"/>
      <c r="D127" s="185"/>
      <c r="E127" s="185"/>
      <c r="F127" s="186">
        <f aca="true" t="shared" si="35" ref="F127:Q127">SUM(F117:F126)</f>
        <v>0</v>
      </c>
      <c r="G127" s="186">
        <f t="shared" si="35"/>
        <v>0</v>
      </c>
      <c r="H127" s="186">
        <f t="shared" si="35"/>
        <v>0</v>
      </c>
      <c r="I127" s="186">
        <f t="shared" si="35"/>
        <v>0</v>
      </c>
      <c r="J127" s="186">
        <f t="shared" si="35"/>
        <v>0</v>
      </c>
      <c r="K127" s="186">
        <f t="shared" si="35"/>
        <v>0</v>
      </c>
      <c r="L127" s="186">
        <f t="shared" si="35"/>
        <v>0</v>
      </c>
      <c r="M127" s="186">
        <f t="shared" si="35"/>
        <v>0</v>
      </c>
      <c r="N127" s="186">
        <f t="shared" si="35"/>
        <v>0</v>
      </c>
      <c r="O127" s="186">
        <f t="shared" si="35"/>
        <v>0</v>
      </c>
      <c r="P127" s="186">
        <f t="shared" si="35"/>
        <v>0</v>
      </c>
      <c r="Q127" s="437">
        <f t="shared" si="35"/>
        <v>0</v>
      </c>
    </row>
    <row r="128" ht="11.25" thickBot="1"/>
    <row r="129" spans="1:17" ht="21">
      <c r="A129" s="80" t="s">
        <v>0</v>
      </c>
      <c r="B129" s="55" t="s">
        <v>90</v>
      </c>
      <c r="C129" s="171" t="s">
        <v>253</v>
      </c>
      <c r="D129" s="172" t="str">
        <f>VLOOKUP(C129,Классификаторы!$A$71:$B$92,2,0)</f>
        <v>Продукт 4</v>
      </c>
      <c r="E129" s="173" t="s">
        <v>94</v>
      </c>
      <c r="F129" s="173">
        <v>39448</v>
      </c>
      <c r="G129" s="173">
        <v>39479</v>
      </c>
      <c r="H129" s="173">
        <v>39508</v>
      </c>
      <c r="I129" s="173">
        <v>39539</v>
      </c>
      <c r="J129" s="173">
        <v>39569</v>
      </c>
      <c r="K129" s="173">
        <v>39600</v>
      </c>
      <c r="L129" s="173">
        <v>39630</v>
      </c>
      <c r="M129" s="173">
        <v>39661</v>
      </c>
      <c r="N129" s="173">
        <v>39692</v>
      </c>
      <c r="O129" s="173">
        <v>39722</v>
      </c>
      <c r="P129" s="173">
        <v>39753</v>
      </c>
      <c r="Q129" s="173">
        <v>39783</v>
      </c>
    </row>
    <row r="130" spans="1:17" s="45" customFormat="1" ht="10.5">
      <c r="A130" s="242"/>
      <c r="B130" s="16" t="s">
        <v>402</v>
      </c>
      <c r="C130" s="131" t="s">
        <v>374</v>
      </c>
      <c r="D130" s="431">
        <f>SUMIF('Технологическая карта 2 (вспом)'!$C$128:$C$136,'Закупки сырья'!B130,'Технологическая карта 2 (вспом)'!$AB$128:$AB$136)</f>
        <v>0</v>
      </c>
      <c r="E130" s="431">
        <f>SUMIF('Закупки сырья'!$A$35:$A$43,B130,'Закупки сырья'!$B$35:$B$43)</f>
        <v>0</v>
      </c>
      <c r="F130" s="431">
        <f>$D130*$E130*'Закупки сырья'!C$35</f>
        <v>0</v>
      </c>
      <c r="G130" s="431">
        <f>$D130*$E130*'Закупки сырья'!D$35</f>
        <v>0</v>
      </c>
      <c r="H130" s="431">
        <f>$D130*$E130*'Закупки сырья'!E$35</f>
        <v>0</v>
      </c>
      <c r="I130" s="431">
        <f>$D130*$E130*'Закупки сырья'!F$35</f>
        <v>0</v>
      </c>
      <c r="J130" s="431">
        <f>$D130*$E130*'Закупки сырья'!G$35</f>
        <v>0</v>
      </c>
      <c r="K130" s="431">
        <f>$D130*$E130*'Закупки сырья'!H$35</f>
        <v>0</v>
      </c>
      <c r="L130" s="431">
        <f>$D130*$E130*'Закупки сырья'!I$35</f>
        <v>0</v>
      </c>
      <c r="M130" s="431">
        <f>$D130*$E130*'Закупки сырья'!J$35</f>
        <v>0</v>
      </c>
      <c r="N130" s="431">
        <f>$D130*$E130*'Закупки сырья'!K$35</f>
        <v>0</v>
      </c>
      <c r="O130" s="431">
        <f>$D130*$E130*'Закупки сырья'!L$35</f>
        <v>0</v>
      </c>
      <c r="P130" s="431">
        <f>$D130*$E130*'Закупки сырья'!M$35</f>
        <v>0</v>
      </c>
      <c r="Q130" s="432">
        <f>$D130*$E130*'Закупки сырья'!N$35</f>
        <v>0</v>
      </c>
    </row>
    <row r="131" spans="1:17" ht="10.5">
      <c r="A131" s="174"/>
      <c r="B131" s="16" t="s">
        <v>403</v>
      </c>
      <c r="C131" s="131" t="s">
        <v>374</v>
      </c>
      <c r="D131" s="175">
        <f>SUMIF('Технологическая карта 2 (вспом)'!$C$128:$C$136,'Закупки сырья'!B131,'Технологическая карта 2 (вспом)'!$AB$128:$AB$136)</f>
        <v>0</v>
      </c>
      <c r="E131" s="175">
        <f>SUMIF('Закупки сырья'!$A$35:$A$43,B131,'Закупки сырья'!$B$35:$B$43)</f>
        <v>0</v>
      </c>
      <c r="F131" s="175">
        <f>$D131*$E131*'Закупки сырья'!C$36</f>
        <v>0</v>
      </c>
      <c r="G131" s="175">
        <f>$D131*$E131*'Закупки сырья'!D$36</f>
        <v>0</v>
      </c>
      <c r="H131" s="175">
        <f>$D131*$E131*'Закупки сырья'!E$36</f>
        <v>0</v>
      </c>
      <c r="I131" s="175">
        <f>$D131*$E131*'Закупки сырья'!F$36</f>
        <v>0</v>
      </c>
      <c r="J131" s="175">
        <f>$D131*$E131*'Закупки сырья'!G$36</f>
        <v>0</v>
      </c>
      <c r="K131" s="175">
        <f>$D131*$E131*'Закупки сырья'!H$36</f>
        <v>0</v>
      </c>
      <c r="L131" s="175">
        <f>$D131*$E131*'Закупки сырья'!I$36</f>
        <v>0</v>
      </c>
      <c r="M131" s="175">
        <f>$D131*$E131*'Закупки сырья'!J$36</f>
        <v>0</v>
      </c>
      <c r="N131" s="175">
        <f>$D131*$E131*'Закупки сырья'!K$36</f>
        <v>0</v>
      </c>
      <c r="O131" s="175">
        <f>$D131*$E131*'Закупки сырья'!L$36</f>
        <v>0</v>
      </c>
      <c r="P131" s="175">
        <f>$D131*$E131*'Закупки сырья'!M$36</f>
        <v>0</v>
      </c>
      <c r="Q131" s="433">
        <f>$D131*$E131*'Закупки сырья'!N$36</f>
        <v>0</v>
      </c>
    </row>
    <row r="132" spans="1:17" ht="10.5">
      <c r="A132" s="174"/>
      <c r="B132" s="16" t="s">
        <v>404</v>
      </c>
      <c r="C132" s="131" t="s">
        <v>374</v>
      </c>
      <c r="D132" s="175">
        <f>SUMIF('Технологическая карта 2 (вспом)'!$C$128:$C$136,'Закупки сырья'!B132,'Технологическая карта 2 (вспом)'!$AB$128:$AB$136)</f>
        <v>0</v>
      </c>
      <c r="E132" s="175">
        <f>SUMIF('Закупки сырья'!$A$35:$A$43,B132,'Закупки сырья'!$B$35:$B$43)</f>
        <v>0</v>
      </c>
      <c r="F132" s="175">
        <f>$D132*$E132*'Закупки сырья'!C$37</f>
        <v>0</v>
      </c>
      <c r="G132" s="175">
        <f>$D132*$E132*'Закупки сырья'!D$37</f>
        <v>0</v>
      </c>
      <c r="H132" s="175">
        <f>$D132*$E132*'Закупки сырья'!E$37</f>
        <v>0</v>
      </c>
      <c r="I132" s="175">
        <f>$D132*$E132*'Закупки сырья'!F$37</f>
        <v>0</v>
      </c>
      <c r="J132" s="175">
        <f>$D132*$E132*'Закупки сырья'!G$37</f>
        <v>0</v>
      </c>
      <c r="K132" s="175">
        <f>$D132*$E132*'Закупки сырья'!H$37</f>
        <v>0</v>
      </c>
      <c r="L132" s="175">
        <f>$D132*$E132*'Закупки сырья'!I$37</f>
        <v>0</v>
      </c>
      <c r="M132" s="175">
        <f>$D132*$E132*'Закупки сырья'!J$37</f>
        <v>0</v>
      </c>
      <c r="N132" s="175">
        <f>$D132*$E132*'Закупки сырья'!K$37</f>
        <v>0</v>
      </c>
      <c r="O132" s="175">
        <f>$D132*$E132*'Закупки сырья'!L$37</f>
        <v>0</v>
      </c>
      <c r="P132" s="175">
        <f>$D132*$E132*'Закупки сырья'!M$37</f>
        <v>0</v>
      </c>
      <c r="Q132" s="433">
        <f>$D132*$E132*'Закупки сырья'!N$37</f>
        <v>0</v>
      </c>
    </row>
    <row r="133" spans="1:17" ht="10.5">
      <c r="A133" s="174"/>
      <c r="B133" s="16" t="s">
        <v>405</v>
      </c>
      <c r="C133" s="131" t="s">
        <v>374</v>
      </c>
      <c r="D133" s="175">
        <f>SUMIF('Технологическая карта 2 (вспом)'!$C$128:$C$136,'Закупки сырья'!B133,'Технологическая карта 2 (вспом)'!$AB$128:$AB$136)</f>
        <v>0</v>
      </c>
      <c r="E133" s="175">
        <f>SUMIF('Закупки сырья'!$A$35:$A$43,B133,'Закупки сырья'!$B$35:$B$43)</f>
        <v>0</v>
      </c>
      <c r="F133" s="175">
        <f>$D133*$E133*'Закупки сырья'!C$38</f>
        <v>0</v>
      </c>
      <c r="G133" s="175">
        <f>$D133*$E133*'Закупки сырья'!D$38</f>
        <v>0</v>
      </c>
      <c r="H133" s="175">
        <f>$D133*$E133*'Закупки сырья'!E$38</f>
        <v>0</v>
      </c>
      <c r="I133" s="175">
        <f>$D133*$E133*'Закупки сырья'!F$38</f>
        <v>0</v>
      </c>
      <c r="J133" s="175">
        <f>$D133*$E133*'Закупки сырья'!G$38</f>
        <v>0</v>
      </c>
      <c r="K133" s="175">
        <f>$D133*$E133*'Закупки сырья'!H$38</f>
        <v>0</v>
      </c>
      <c r="L133" s="175">
        <f>$D133*$E133*'Закупки сырья'!I$38</f>
        <v>0</v>
      </c>
      <c r="M133" s="175">
        <f>$D133*$E133*'Закупки сырья'!J$38</f>
        <v>0</v>
      </c>
      <c r="N133" s="175">
        <f>$D133*$E133*'Закупки сырья'!K$38</f>
        <v>0</v>
      </c>
      <c r="O133" s="175">
        <f>$D133*$E133*'Закупки сырья'!L$38</f>
        <v>0</v>
      </c>
      <c r="P133" s="175">
        <f>$D133*$E133*'Закупки сырья'!M$38</f>
        <v>0</v>
      </c>
      <c r="Q133" s="433">
        <f>$D133*$E133*'Закупки сырья'!N$38</f>
        <v>0</v>
      </c>
    </row>
    <row r="134" spans="1:17" ht="10.5">
      <c r="A134" s="174"/>
      <c r="B134" s="16" t="s">
        <v>406</v>
      </c>
      <c r="C134" s="131" t="s">
        <v>374</v>
      </c>
      <c r="D134" s="175">
        <f>SUMIF('Технологическая карта 2 (вспом)'!$C$128:$C$136,'Закупки сырья'!B134,'Технологическая карта 2 (вспом)'!$AB$128:$AB$136)</f>
        <v>0</v>
      </c>
      <c r="E134" s="175">
        <f>SUMIF('Закупки сырья'!$A$35:$A$43,B134,'Закупки сырья'!$B$35:$B$43)</f>
        <v>0</v>
      </c>
      <c r="F134" s="175">
        <f>$D134*$E134*'Закупки сырья'!C$39</f>
        <v>0</v>
      </c>
      <c r="G134" s="175">
        <f>$D134*$E134*'Закупки сырья'!D$39</f>
        <v>0</v>
      </c>
      <c r="H134" s="175">
        <f>$D134*$E134*'Закупки сырья'!E$39</f>
        <v>0</v>
      </c>
      <c r="I134" s="175">
        <f>$D134*$E134*'Закупки сырья'!F$39</f>
        <v>0</v>
      </c>
      <c r="J134" s="175">
        <f>$D134*$E134*'Закупки сырья'!G$39</f>
        <v>0</v>
      </c>
      <c r="K134" s="175">
        <f>$D134*$E134*'Закупки сырья'!H$39</f>
        <v>0</v>
      </c>
      <c r="L134" s="175">
        <f>$D134*$E134*'Закупки сырья'!I$39</f>
        <v>0</v>
      </c>
      <c r="M134" s="175">
        <f>$D134*$E134*'Закупки сырья'!J$39</f>
        <v>0</v>
      </c>
      <c r="N134" s="175">
        <f>$D134*$E134*'Закупки сырья'!K$39</f>
        <v>0</v>
      </c>
      <c r="O134" s="175">
        <f>$D134*$E134*'Закупки сырья'!L$39</f>
        <v>0</v>
      </c>
      <c r="P134" s="175">
        <f>$D134*$E134*'Закупки сырья'!M$39</f>
        <v>0</v>
      </c>
      <c r="Q134" s="433">
        <f>$D134*$E134*'Закупки сырья'!N$39</f>
        <v>0</v>
      </c>
    </row>
    <row r="135" spans="1:17" ht="10.5">
      <c r="A135" s="174"/>
      <c r="B135" s="16" t="s">
        <v>407</v>
      </c>
      <c r="C135" s="131" t="s">
        <v>374</v>
      </c>
      <c r="D135" s="175">
        <f>SUMIF('Технологическая карта 2 (вспом)'!$C$128:$C$136,'Закупки сырья'!B135,'Технологическая карта 2 (вспом)'!$AB$128:$AB$136)</f>
        <v>0</v>
      </c>
      <c r="E135" s="175">
        <f>SUMIF('Закупки сырья'!$A$35:$A$43,B135,'Закупки сырья'!$B$35:$B$43)</f>
        <v>0</v>
      </c>
      <c r="F135" s="175">
        <f>$D135*$E135*'Закупки сырья'!C$40</f>
        <v>0</v>
      </c>
      <c r="G135" s="175">
        <f>$D135*$E135*'Закупки сырья'!D$40</f>
        <v>0</v>
      </c>
      <c r="H135" s="175">
        <f>$D135*$E135*'Закупки сырья'!E$40</f>
        <v>0</v>
      </c>
      <c r="I135" s="175">
        <f>$D135*$E135*'Закупки сырья'!F$40</f>
        <v>0</v>
      </c>
      <c r="J135" s="175">
        <f>$D135*$E135*'Закупки сырья'!G$40</f>
        <v>0</v>
      </c>
      <c r="K135" s="175">
        <f>$D135*$E135*'Закупки сырья'!H$40</f>
        <v>0</v>
      </c>
      <c r="L135" s="175">
        <f>$D135*$E135*'Закупки сырья'!I$40</f>
        <v>0</v>
      </c>
      <c r="M135" s="175">
        <f>$D135*$E135*'Закупки сырья'!J$40</f>
        <v>0</v>
      </c>
      <c r="N135" s="175">
        <f>$D135*$E135*'Закупки сырья'!K$40</f>
        <v>0</v>
      </c>
      <c r="O135" s="175">
        <f>$D135*$E135*'Закупки сырья'!L$40</f>
        <v>0</v>
      </c>
      <c r="P135" s="175">
        <f>$D135*$E135*'Закупки сырья'!M$40</f>
        <v>0</v>
      </c>
      <c r="Q135" s="433">
        <f>$D135*$E135*'Закупки сырья'!N$40</f>
        <v>0</v>
      </c>
    </row>
    <row r="136" spans="1:17" ht="10.5">
      <c r="A136" s="174"/>
      <c r="B136" s="16" t="s">
        <v>408</v>
      </c>
      <c r="C136" s="131" t="s">
        <v>374</v>
      </c>
      <c r="D136" s="175">
        <f>SUMIF('Технологическая карта 2 (вспом)'!$C$128:$C$136,'Закупки сырья'!B136,'Технологическая карта 2 (вспом)'!$AB$128:$AB$136)</f>
        <v>0</v>
      </c>
      <c r="E136" s="175">
        <f>SUMIF('Закупки сырья'!$A$35:$A$43,B136,'Закупки сырья'!$B$35:$B$43)</f>
        <v>0</v>
      </c>
      <c r="F136" s="175">
        <f>$D136*$E136*'Закупки сырья'!C$41</f>
        <v>0</v>
      </c>
      <c r="G136" s="175">
        <f>$D136*$E136*'Закупки сырья'!D$41</f>
        <v>0</v>
      </c>
      <c r="H136" s="175">
        <f>$D136*$E136*'Закупки сырья'!E$41</f>
        <v>0</v>
      </c>
      <c r="I136" s="175">
        <f>$D136*$E136*'Закупки сырья'!F$41</f>
        <v>0</v>
      </c>
      <c r="J136" s="175">
        <f>$D136*$E136*'Закупки сырья'!G$41</f>
        <v>0</v>
      </c>
      <c r="K136" s="175">
        <f>$D136*$E136*'Закупки сырья'!H$41</f>
        <v>0</v>
      </c>
      <c r="L136" s="175">
        <f>$D136*$E136*'Закупки сырья'!I$41</f>
        <v>0</v>
      </c>
      <c r="M136" s="175">
        <f>$D136*$E136*'Закупки сырья'!J$41</f>
        <v>0</v>
      </c>
      <c r="N136" s="175">
        <f>$D136*$E136*'Закупки сырья'!K$41</f>
        <v>0</v>
      </c>
      <c r="O136" s="175">
        <f>$D136*$E136*'Закупки сырья'!L$41</f>
        <v>0</v>
      </c>
      <c r="P136" s="175">
        <f>$D136*$E136*'Закупки сырья'!M$41</f>
        <v>0</v>
      </c>
      <c r="Q136" s="433">
        <f>$D136*$E136*'Закупки сырья'!N$41</f>
        <v>0</v>
      </c>
    </row>
    <row r="137" spans="1:17" ht="10.5">
      <c r="A137" s="174"/>
      <c r="B137" s="16" t="s">
        <v>409</v>
      </c>
      <c r="C137" s="131" t="s">
        <v>374</v>
      </c>
      <c r="D137" s="175">
        <f>SUMIF('Технологическая карта 2 (вспом)'!$C$128:$C$136,'Закупки сырья'!B137,'Технологическая карта 2 (вспом)'!$AB$128:$AB$136)</f>
        <v>0</v>
      </c>
      <c r="E137" s="175">
        <f>SUMIF('Закупки сырья'!$A$35:$A$43,B137,'Закупки сырья'!$B$35:$B$43)</f>
        <v>0</v>
      </c>
      <c r="F137" s="175">
        <f>$D137*$E137*'Закупки сырья'!C$42</f>
        <v>0</v>
      </c>
      <c r="G137" s="175">
        <f>$D137*$E137*'Закупки сырья'!D$42</f>
        <v>0</v>
      </c>
      <c r="H137" s="175">
        <f>$D137*$E137*'Закупки сырья'!E$42</f>
        <v>0</v>
      </c>
      <c r="I137" s="175">
        <f>$D137*$E137*'Закупки сырья'!F$42</f>
        <v>0</v>
      </c>
      <c r="J137" s="175">
        <f>$D137*$E137*'Закупки сырья'!G$42</f>
        <v>0</v>
      </c>
      <c r="K137" s="175">
        <f>$D137*$E137*'Закупки сырья'!H$42</f>
        <v>0</v>
      </c>
      <c r="L137" s="175">
        <f>$D137*$E137*'Закупки сырья'!I$42</f>
        <v>0</v>
      </c>
      <c r="M137" s="175">
        <f>$D137*$E137*'Закупки сырья'!J$42</f>
        <v>0</v>
      </c>
      <c r="N137" s="175">
        <f>$D137*$E137*'Закупки сырья'!K$42</f>
        <v>0</v>
      </c>
      <c r="O137" s="175">
        <f>$D137*$E137*'Закупки сырья'!L$42</f>
        <v>0</v>
      </c>
      <c r="P137" s="175">
        <f>$D137*$E137*'Закупки сырья'!M$42</f>
        <v>0</v>
      </c>
      <c r="Q137" s="433">
        <f>$D137*$E137*'Закупки сырья'!N$42</f>
        <v>0</v>
      </c>
    </row>
    <row r="138" spans="1:17" ht="10.5">
      <c r="A138" s="174"/>
      <c r="B138" s="16" t="s">
        <v>410</v>
      </c>
      <c r="C138" s="131" t="s">
        <v>374</v>
      </c>
      <c r="D138" s="175">
        <f>SUMIF('Технологическая карта 2 (вспом)'!$C$128:$C$136,'Закупки сырья'!B138,'Технологическая карта 2 (вспом)'!$AB$128:$AB$136)</f>
        <v>0</v>
      </c>
      <c r="E138" s="175">
        <f>SUMIF('Закупки сырья'!$A$35:$A$43,B138,'Закупки сырья'!$B$35:$B$43)</f>
        <v>0</v>
      </c>
      <c r="F138" s="175">
        <f>$D138*$E138*'Закупки сырья'!C$43</f>
        <v>0</v>
      </c>
      <c r="G138" s="175">
        <f>$D138*$E138*'Закупки сырья'!D$43</f>
        <v>0</v>
      </c>
      <c r="H138" s="175">
        <f>$D138*$E138*'Закупки сырья'!E$43</f>
        <v>0</v>
      </c>
      <c r="I138" s="175">
        <f>$D138*$E138*'Закупки сырья'!F$43</f>
        <v>0</v>
      </c>
      <c r="J138" s="175">
        <f>$D138*$E138*'Закупки сырья'!G$43</f>
        <v>0</v>
      </c>
      <c r="K138" s="175">
        <f>$D138*$E138*'Закупки сырья'!H$43</f>
        <v>0</v>
      </c>
      <c r="L138" s="175">
        <f>$D138*$E138*'Закупки сырья'!I$43</f>
        <v>0</v>
      </c>
      <c r="M138" s="175">
        <f>$D138*$E138*'Закупки сырья'!J$43</f>
        <v>0</v>
      </c>
      <c r="N138" s="175">
        <f>$D138*$E138*'Закупки сырья'!K$43</f>
        <v>0</v>
      </c>
      <c r="O138" s="175">
        <f>$D138*$E138*'Закупки сырья'!L$43</f>
        <v>0</v>
      </c>
      <c r="P138" s="175">
        <f>$D138*$E138*'Закупки сырья'!M$43</f>
        <v>0</v>
      </c>
      <c r="Q138" s="433">
        <f>$D138*$E138*'Закупки сырья'!N$43</f>
        <v>0</v>
      </c>
    </row>
    <row r="139" spans="1:19" ht="10.5">
      <c r="A139" s="244"/>
      <c r="B139" s="438" t="s">
        <v>64</v>
      </c>
      <c r="C139" s="138"/>
      <c r="D139" s="347" t="s">
        <v>342</v>
      </c>
      <c r="E139" s="347" t="s">
        <v>342</v>
      </c>
      <c r="F139" s="347" t="s">
        <v>342</v>
      </c>
      <c r="G139" s="347" t="s">
        <v>342</v>
      </c>
      <c r="H139" s="347" t="s">
        <v>342</v>
      </c>
      <c r="I139" s="347" t="s">
        <v>342</v>
      </c>
      <c r="J139" s="347" t="s">
        <v>342</v>
      </c>
      <c r="K139" s="347" t="s">
        <v>342</v>
      </c>
      <c r="L139" s="347" t="s">
        <v>342</v>
      </c>
      <c r="M139" s="347" t="s">
        <v>342</v>
      </c>
      <c r="N139" s="347" t="s">
        <v>342</v>
      </c>
      <c r="O139" s="347" t="s">
        <v>342</v>
      </c>
      <c r="P139" s="347" t="s">
        <v>342</v>
      </c>
      <c r="Q139" s="406" t="s">
        <v>342</v>
      </c>
      <c r="R139" s="45"/>
      <c r="S139" s="45"/>
    </row>
    <row r="140" spans="1:17" ht="10.5">
      <c r="A140" s="182" t="str">
        <f>D129</f>
        <v>Продукт 4</v>
      </c>
      <c r="B140" s="183"/>
      <c r="C140" s="184"/>
      <c r="D140" s="185"/>
      <c r="E140" s="185"/>
      <c r="F140" s="186">
        <f aca="true" t="shared" si="36" ref="F140:Q140">SUM(F130:F139)</f>
        <v>0</v>
      </c>
      <c r="G140" s="186">
        <f t="shared" si="36"/>
        <v>0</v>
      </c>
      <c r="H140" s="186">
        <f t="shared" si="36"/>
        <v>0</v>
      </c>
      <c r="I140" s="186">
        <f t="shared" si="36"/>
        <v>0</v>
      </c>
      <c r="J140" s="186">
        <f t="shared" si="36"/>
        <v>0</v>
      </c>
      <c r="K140" s="186">
        <f t="shared" si="36"/>
        <v>0</v>
      </c>
      <c r="L140" s="186">
        <f t="shared" si="36"/>
        <v>0</v>
      </c>
      <c r="M140" s="186">
        <f t="shared" si="36"/>
        <v>0</v>
      </c>
      <c r="N140" s="186">
        <f t="shared" si="36"/>
        <v>0</v>
      </c>
      <c r="O140" s="186">
        <f t="shared" si="36"/>
        <v>0</v>
      </c>
      <c r="P140" s="186">
        <f t="shared" si="36"/>
        <v>0</v>
      </c>
      <c r="Q140" s="437">
        <f t="shared" si="36"/>
        <v>0</v>
      </c>
    </row>
    <row r="141" ht="11.25" thickBot="1"/>
    <row r="142" spans="1:17" ht="21">
      <c r="A142" s="80" t="s">
        <v>0</v>
      </c>
      <c r="B142" s="55" t="s">
        <v>90</v>
      </c>
      <c r="C142" s="171" t="s">
        <v>254</v>
      </c>
      <c r="D142" s="172" t="str">
        <f>VLOOKUP(C142,Классификаторы!$A$71:$B$92,2,0)</f>
        <v>Продукт 5</v>
      </c>
      <c r="E142" s="173" t="s">
        <v>94</v>
      </c>
      <c r="F142" s="173">
        <v>39448</v>
      </c>
      <c r="G142" s="173">
        <v>39479</v>
      </c>
      <c r="H142" s="173">
        <v>39508</v>
      </c>
      <c r="I142" s="173">
        <v>39539</v>
      </c>
      <c r="J142" s="173">
        <v>39569</v>
      </c>
      <c r="K142" s="173">
        <v>39600</v>
      </c>
      <c r="L142" s="173">
        <v>39630</v>
      </c>
      <c r="M142" s="173">
        <v>39661</v>
      </c>
      <c r="N142" s="173">
        <v>39692</v>
      </c>
      <c r="O142" s="173">
        <v>39722</v>
      </c>
      <c r="P142" s="173">
        <v>39753</v>
      </c>
      <c r="Q142" s="173">
        <v>39783</v>
      </c>
    </row>
    <row r="143" spans="1:17" s="45" customFormat="1" ht="10.5">
      <c r="A143" s="242"/>
      <c r="B143" s="16" t="s">
        <v>402</v>
      </c>
      <c r="C143" s="131" t="s">
        <v>374</v>
      </c>
      <c r="D143" s="431">
        <f>SUMIF('Технологическая карта 2 (вспом)'!$C$128:$C$136,'Закупки сырья'!B143,'Технологическая карта 2 (вспом)'!$AJ$128:$AJ$136)</f>
        <v>0</v>
      </c>
      <c r="E143" s="431">
        <f>SUMIF('Закупки сырья'!$A$35:$A$43,B143,'Закупки сырья'!$B$35:$B$43)</f>
        <v>0</v>
      </c>
      <c r="F143" s="431">
        <f>$D143*$E143*'Закупки сырья'!C$35</f>
        <v>0</v>
      </c>
      <c r="G143" s="431">
        <f>$D143*$E143*'Закупки сырья'!D$35</f>
        <v>0</v>
      </c>
      <c r="H143" s="431">
        <f>$D143*$E143*'Закупки сырья'!E$35</f>
        <v>0</v>
      </c>
      <c r="I143" s="431">
        <f>$D143*$E143*'Закупки сырья'!F$35</f>
        <v>0</v>
      </c>
      <c r="J143" s="431">
        <f>$D143*$E143*'Закупки сырья'!G$35</f>
        <v>0</v>
      </c>
      <c r="K143" s="431">
        <f>$D143*$E143*'Закупки сырья'!H$35</f>
        <v>0</v>
      </c>
      <c r="L143" s="431">
        <f>$D143*$E143*'Закупки сырья'!I$35</f>
        <v>0</v>
      </c>
      <c r="M143" s="431">
        <f>$D143*$E143*'Закупки сырья'!J$35</f>
        <v>0</v>
      </c>
      <c r="N143" s="431">
        <f>$D143*$E143*'Закупки сырья'!K$35</f>
        <v>0</v>
      </c>
      <c r="O143" s="431">
        <f>$D143*$E143*'Закупки сырья'!L$35</f>
        <v>0</v>
      </c>
      <c r="P143" s="431">
        <f>$D143*$E143*'Закупки сырья'!M$35</f>
        <v>0</v>
      </c>
      <c r="Q143" s="432">
        <f>$D143*$E143*'Закупки сырья'!N$35</f>
        <v>0</v>
      </c>
    </row>
    <row r="144" spans="1:17" ht="10.5">
      <c r="A144" s="174"/>
      <c r="B144" s="16" t="s">
        <v>403</v>
      </c>
      <c r="C144" s="131" t="s">
        <v>374</v>
      </c>
      <c r="D144" s="175">
        <f>SUMIF('Технологическая карта 2 (вспом)'!$C$128:$C$136,'Закупки сырья'!B144,'Технологическая карта 2 (вспом)'!$AJ$128:$AJ$136)</f>
        <v>0</v>
      </c>
      <c r="E144" s="175">
        <f>SUMIF('Закупки сырья'!$A$35:$A$43,B144,'Закупки сырья'!$B$35:$B$43)</f>
        <v>0</v>
      </c>
      <c r="F144" s="175">
        <f>$D144*$E144*'Закупки сырья'!C$36</f>
        <v>0</v>
      </c>
      <c r="G144" s="175">
        <f>$D144*$E144*'Закупки сырья'!D$36</f>
        <v>0</v>
      </c>
      <c r="H144" s="175">
        <f>$D144*$E144*'Закупки сырья'!E$36</f>
        <v>0</v>
      </c>
      <c r="I144" s="175">
        <f>$D144*$E144*'Закупки сырья'!F$36</f>
        <v>0</v>
      </c>
      <c r="J144" s="175">
        <f>$D144*$E144*'Закупки сырья'!G$36</f>
        <v>0</v>
      </c>
      <c r="K144" s="175">
        <f>$D144*$E144*'Закупки сырья'!H$36</f>
        <v>0</v>
      </c>
      <c r="L144" s="175">
        <f>$D144*$E144*'Закупки сырья'!I$36</f>
        <v>0</v>
      </c>
      <c r="M144" s="175">
        <f>$D144*$E144*'Закупки сырья'!J$36</f>
        <v>0</v>
      </c>
      <c r="N144" s="175">
        <f>$D144*$E144*'Закупки сырья'!K$36</f>
        <v>0</v>
      </c>
      <c r="O144" s="175">
        <f>$D144*$E144*'Закупки сырья'!L$36</f>
        <v>0</v>
      </c>
      <c r="P144" s="175">
        <f>$D144*$E144*'Закупки сырья'!M$36</f>
        <v>0</v>
      </c>
      <c r="Q144" s="433">
        <f>$D144*$E144*'Закупки сырья'!N$36</f>
        <v>0</v>
      </c>
    </row>
    <row r="145" spans="1:17" ht="10.5">
      <c r="A145" s="174"/>
      <c r="B145" s="16" t="s">
        <v>404</v>
      </c>
      <c r="C145" s="131" t="s">
        <v>374</v>
      </c>
      <c r="D145" s="175">
        <f>SUMIF('Технологическая карта 2 (вспом)'!$C$128:$C$136,'Закупки сырья'!B145,'Технологическая карта 2 (вспом)'!$AJ$128:$AJ$136)</f>
        <v>0</v>
      </c>
      <c r="E145" s="175">
        <f>SUMIF('Закупки сырья'!$A$35:$A$43,B145,'Закупки сырья'!$B$35:$B$43)</f>
        <v>0</v>
      </c>
      <c r="F145" s="175">
        <f>$D145*$E145*'Закупки сырья'!C$37</f>
        <v>0</v>
      </c>
      <c r="G145" s="175">
        <f>$D145*$E145*'Закупки сырья'!D$37</f>
        <v>0</v>
      </c>
      <c r="H145" s="175">
        <f>$D145*$E145*'Закупки сырья'!E$37</f>
        <v>0</v>
      </c>
      <c r="I145" s="175">
        <f>$D145*$E145*'Закупки сырья'!F$37</f>
        <v>0</v>
      </c>
      <c r="J145" s="175">
        <f>$D145*$E145*'Закупки сырья'!G$37</f>
        <v>0</v>
      </c>
      <c r="K145" s="175">
        <f>$D145*$E145*'Закупки сырья'!H$37</f>
        <v>0</v>
      </c>
      <c r="L145" s="175">
        <f>$D145*$E145*'Закупки сырья'!I$37</f>
        <v>0</v>
      </c>
      <c r="M145" s="175">
        <f>$D145*$E145*'Закупки сырья'!J$37</f>
        <v>0</v>
      </c>
      <c r="N145" s="175">
        <f>$D145*$E145*'Закупки сырья'!K$37</f>
        <v>0</v>
      </c>
      <c r="O145" s="175">
        <f>$D145*$E145*'Закупки сырья'!L$37</f>
        <v>0</v>
      </c>
      <c r="P145" s="175">
        <f>$D145*$E145*'Закупки сырья'!M$37</f>
        <v>0</v>
      </c>
      <c r="Q145" s="433">
        <f>$D145*$E145*'Закупки сырья'!N$37</f>
        <v>0</v>
      </c>
    </row>
    <row r="146" spans="1:17" ht="10.5">
      <c r="A146" s="174"/>
      <c r="B146" s="16" t="s">
        <v>405</v>
      </c>
      <c r="C146" s="131" t="s">
        <v>374</v>
      </c>
      <c r="D146" s="175">
        <f>SUMIF('Технологическая карта 2 (вспом)'!$C$128:$C$136,'Закупки сырья'!B146,'Технологическая карта 2 (вспом)'!$AJ$128:$AJ$136)</f>
        <v>0</v>
      </c>
      <c r="E146" s="175">
        <f>SUMIF('Закупки сырья'!$A$35:$A$43,B146,'Закупки сырья'!$B$35:$B$43)</f>
        <v>0</v>
      </c>
      <c r="F146" s="175">
        <f>$D146*$E146*'Закупки сырья'!C$38</f>
        <v>0</v>
      </c>
      <c r="G146" s="175">
        <f>$D146*$E146*'Закупки сырья'!D$38</f>
        <v>0</v>
      </c>
      <c r="H146" s="175">
        <f>$D146*$E146*'Закупки сырья'!E$38</f>
        <v>0</v>
      </c>
      <c r="I146" s="175">
        <f>$D146*$E146*'Закупки сырья'!F$38</f>
        <v>0</v>
      </c>
      <c r="J146" s="175">
        <f>$D146*$E146*'Закупки сырья'!G$38</f>
        <v>0</v>
      </c>
      <c r="K146" s="175">
        <f>$D146*$E146*'Закупки сырья'!H$38</f>
        <v>0</v>
      </c>
      <c r="L146" s="175">
        <f>$D146*$E146*'Закупки сырья'!I$38</f>
        <v>0</v>
      </c>
      <c r="M146" s="175">
        <f>$D146*$E146*'Закупки сырья'!J$38</f>
        <v>0</v>
      </c>
      <c r="N146" s="175">
        <f>$D146*$E146*'Закупки сырья'!K$38</f>
        <v>0</v>
      </c>
      <c r="O146" s="175">
        <f>$D146*$E146*'Закупки сырья'!L$38</f>
        <v>0</v>
      </c>
      <c r="P146" s="175">
        <f>$D146*$E146*'Закупки сырья'!M$38</f>
        <v>0</v>
      </c>
      <c r="Q146" s="433">
        <f>$D146*$E146*'Закупки сырья'!N$38</f>
        <v>0</v>
      </c>
    </row>
    <row r="147" spans="1:17" ht="10.5">
      <c r="A147" s="174"/>
      <c r="B147" s="16" t="s">
        <v>406</v>
      </c>
      <c r="C147" s="131" t="s">
        <v>374</v>
      </c>
      <c r="D147" s="175">
        <f>SUMIF('Технологическая карта 2 (вспом)'!$C$128:$C$136,'Закупки сырья'!B147,'Технологическая карта 2 (вспом)'!$AJ$128:$AJ$136)</f>
        <v>0</v>
      </c>
      <c r="E147" s="175">
        <f>SUMIF('Закупки сырья'!$A$35:$A$43,B147,'Закупки сырья'!$B$35:$B$43)</f>
        <v>0</v>
      </c>
      <c r="F147" s="175">
        <f>$D147*$E147*'Закупки сырья'!C$39</f>
        <v>0</v>
      </c>
      <c r="G147" s="175">
        <f>$D147*$E147*'Закупки сырья'!D$39</f>
        <v>0</v>
      </c>
      <c r="H147" s="175">
        <f>$D147*$E147*'Закупки сырья'!E$39</f>
        <v>0</v>
      </c>
      <c r="I147" s="175">
        <f>$D147*$E147*'Закупки сырья'!F$39</f>
        <v>0</v>
      </c>
      <c r="J147" s="175">
        <f>$D147*$E147*'Закупки сырья'!G$39</f>
        <v>0</v>
      </c>
      <c r="K147" s="175">
        <f>$D147*$E147*'Закупки сырья'!H$39</f>
        <v>0</v>
      </c>
      <c r="L147" s="175">
        <f>$D147*$E147*'Закупки сырья'!I$39</f>
        <v>0</v>
      </c>
      <c r="M147" s="175">
        <f>$D147*$E147*'Закупки сырья'!J$39</f>
        <v>0</v>
      </c>
      <c r="N147" s="175">
        <f>$D147*$E147*'Закупки сырья'!K$39</f>
        <v>0</v>
      </c>
      <c r="O147" s="175">
        <f>$D147*$E147*'Закупки сырья'!L$39</f>
        <v>0</v>
      </c>
      <c r="P147" s="175">
        <f>$D147*$E147*'Закупки сырья'!M$39</f>
        <v>0</v>
      </c>
      <c r="Q147" s="433">
        <f>$D147*$E147*'Закупки сырья'!N$39</f>
        <v>0</v>
      </c>
    </row>
    <row r="148" spans="1:17" ht="10.5">
      <c r="A148" s="174"/>
      <c r="B148" s="16" t="s">
        <v>407</v>
      </c>
      <c r="C148" s="131" t="s">
        <v>374</v>
      </c>
      <c r="D148" s="175">
        <f>SUMIF('Технологическая карта 2 (вспом)'!$C$128:$C$136,'Закупки сырья'!B148,'Технологическая карта 2 (вспом)'!$AJ$128:$AJ$136)</f>
        <v>0</v>
      </c>
      <c r="E148" s="175">
        <f>SUMIF('Закупки сырья'!$A$35:$A$43,B148,'Закупки сырья'!$B$35:$B$43)</f>
        <v>0</v>
      </c>
      <c r="F148" s="175">
        <f>$D148*$E148*'Закупки сырья'!C$40</f>
        <v>0</v>
      </c>
      <c r="G148" s="175">
        <f>$D148*$E148*'Закупки сырья'!D$40</f>
        <v>0</v>
      </c>
      <c r="H148" s="175">
        <f>$D148*$E148*'Закупки сырья'!E$40</f>
        <v>0</v>
      </c>
      <c r="I148" s="175">
        <f>$D148*$E148*'Закупки сырья'!F$40</f>
        <v>0</v>
      </c>
      <c r="J148" s="175">
        <f>$D148*$E148*'Закупки сырья'!G$40</f>
        <v>0</v>
      </c>
      <c r="K148" s="175">
        <f>$D148*$E148*'Закупки сырья'!H$40</f>
        <v>0</v>
      </c>
      <c r="L148" s="175">
        <f>$D148*$E148*'Закупки сырья'!I$40</f>
        <v>0</v>
      </c>
      <c r="M148" s="175">
        <f>$D148*$E148*'Закупки сырья'!J$40</f>
        <v>0</v>
      </c>
      <c r="N148" s="175">
        <f>$D148*$E148*'Закупки сырья'!K$40</f>
        <v>0</v>
      </c>
      <c r="O148" s="175">
        <f>$D148*$E148*'Закупки сырья'!L$40</f>
        <v>0</v>
      </c>
      <c r="P148" s="175">
        <f>$D148*$E148*'Закупки сырья'!M$40</f>
        <v>0</v>
      </c>
      <c r="Q148" s="433">
        <f>$D148*$E148*'Закупки сырья'!N$40</f>
        <v>0</v>
      </c>
    </row>
    <row r="149" spans="1:17" ht="10.5">
      <c r="A149" s="174"/>
      <c r="B149" s="16" t="s">
        <v>408</v>
      </c>
      <c r="C149" s="131" t="s">
        <v>374</v>
      </c>
      <c r="D149" s="175">
        <f>SUMIF('Технологическая карта 2 (вспом)'!$C$128:$C$136,'Закупки сырья'!B149,'Технологическая карта 2 (вспом)'!$AJ$128:$AJ$136)</f>
        <v>0</v>
      </c>
      <c r="E149" s="175">
        <f>SUMIF('Закупки сырья'!$A$35:$A$43,B149,'Закупки сырья'!$B$35:$B$43)</f>
        <v>0</v>
      </c>
      <c r="F149" s="175">
        <f>$D149*$E149*'Закупки сырья'!C$41</f>
        <v>0</v>
      </c>
      <c r="G149" s="175">
        <f>$D149*$E149*'Закупки сырья'!D$41</f>
        <v>0</v>
      </c>
      <c r="H149" s="175">
        <f>$D149*$E149*'Закупки сырья'!E$41</f>
        <v>0</v>
      </c>
      <c r="I149" s="175">
        <f>$D149*$E149*'Закупки сырья'!F$41</f>
        <v>0</v>
      </c>
      <c r="J149" s="175">
        <f>$D149*$E149*'Закупки сырья'!G$41</f>
        <v>0</v>
      </c>
      <c r="K149" s="175">
        <f>$D149*$E149*'Закупки сырья'!H$41</f>
        <v>0</v>
      </c>
      <c r="L149" s="175">
        <f>$D149*$E149*'Закупки сырья'!I$41</f>
        <v>0</v>
      </c>
      <c r="M149" s="175">
        <f>$D149*$E149*'Закупки сырья'!J$41</f>
        <v>0</v>
      </c>
      <c r="N149" s="175">
        <f>$D149*$E149*'Закупки сырья'!K$41</f>
        <v>0</v>
      </c>
      <c r="O149" s="175">
        <f>$D149*$E149*'Закупки сырья'!L$41</f>
        <v>0</v>
      </c>
      <c r="P149" s="175">
        <f>$D149*$E149*'Закупки сырья'!M$41</f>
        <v>0</v>
      </c>
      <c r="Q149" s="433">
        <f>$D149*$E149*'Закупки сырья'!N$41</f>
        <v>0</v>
      </c>
    </row>
    <row r="150" spans="1:17" ht="10.5">
      <c r="A150" s="174"/>
      <c r="B150" s="16" t="s">
        <v>409</v>
      </c>
      <c r="C150" s="131" t="s">
        <v>374</v>
      </c>
      <c r="D150" s="175">
        <f>SUMIF('Технологическая карта 2 (вспом)'!$C$128:$C$136,'Закупки сырья'!B150,'Технологическая карта 2 (вспом)'!$AJ$128:$AJ$136)</f>
        <v>0</v>
      </c>
      <c r="E150" s="175">
        <f>SUMIF('Закупки сырья'!$A$35:$A$43,B150,'Закупки сырья'!$B$35:$B$43)</f>
        <v>0</v>
      </c>
      <c r="F150" s="175">
        <f>$D150*$E150*'Закупки сырья'!C$42</f>
        <v>0</v>
      </c>
      <c r="G150" s="175">
        <f>$D150*$E150*'Закупки сырья'!D$42</f>
        <v>0</v>
      </c>
      <c r="H150" s="175">
        <f>$D150*$E150*'Закупки сырья'!E$42</f>
        <v>0</v>
      </c>
      <c r="I150" s="175">
        <f>$D150*$E150*'Закупки сырья'!F$42</f>
        <v>0</v>
      </c>
      <c r="J150" s="175">
        <f>$D150*$E150*'Закупки сырья'!G$42</f>
        <v>0</v>
      </c>
      <c r="K150" s="175">
        <f>$D150*$E150*'Закупки сырья'!H$42</f>
        <v>0</v>
      </c>
      <c r="L150" s="175">
        <f>$D150*$E150*'Закупки сырья'!I$42</f>
        <v>0</v>
      </c>
      <c r="M150" s="175">
        <f>$D150*$E150*'Закупки сырья'!J$42</f>
        <v>0</v>
      </c>
      <c r="N150" s="175">
        <f>$D150*$E150*'Закупки сырья'!K$42</f>
        <v>0</v>
      </c>
      <c r="O150" s="175">
        <f>$D150*$E150*'Закупки сырья'!L$42</f>
        <v>0</v>
      </c>
      <c r="P150" s="175">
        <f>$D150*$E150*'Закупки сырья'!M$42</f>
        <v>0</v>
      </c>
      <c r="Q150" s="433">
        <f>$D150*$E150*'Закупки сырья'!N$42</f>
        <v>0</v>
      </c>
    </row>
    <row r="151" spans="1:17" ht="10.5">
      <c r="A151" s="174"/>
      <c r="B151" s="16" t="s">
        <v>410</v>
      </c>
      <c r="C151" s="131" t="s">
        <v>374</v>
      </c>
      <c r="D151" s="175">
        <f>SUMIF('Технологическая карта 2 (вспом)'!$C$128:$C$136,'Закупки сырья'!B151,'Технологическая карта 2 (вспом)'!$AJ$128:$AJ$136)</f>
        <v>0</v>
      </c>
      <c r="E151" s="175">
        <f>SUMIF('Закупки сырья'!$A$35:$A$43,B151,'Закупки сырья'!$B$35:$B$43)</f>
        <v>0</v>
      </c>
      <c r="F151" s="175">
        <f>$D151*$E151*'Закупки сырья'!C$43</f>
        <v>0</v>
      </c>
      <c r="G151" s="175">
        <f>$D151*$E151*'Закупки сырья'!D$43</f>
        <v>0</v>
      </c>
      <c r="H151" s="175">
        <f>$D151*$E151*'Закупки сырья'!E$43</f>
        <v>0</v>
      </c>
      <c r="I151" s="175">
        <f>$D151*$E151*'Закупки сырья'!F$43</f>
        <v>0</v>
      </c>
      <c r="J151" s="175">
        <f>$D151*$E151*'Закупки сырья'!G$43</f>
        <v>0</v>
      </c>
      <c r="K151" s="175">
        <f>$D151*$E151*'Закупки сырья'!H$43</f>
        <v>0</v>
      </c>
      <c r="L151" s="175">
        <f>$D151*$E151*'Закупки сырья'!I$43</f>
        <v>0</v>
      </c>
      <c r="M151" s="175">
        <f>$D151*$E151*'Закупки сырья'!J$43</f>
        <v>0</v>
      </c>
      <c r="N151" s="175">
        <f>$D151*$E151*'Закупки сырья'!K$43</f>
        <v>0</v>
      </c>
      <c r="O151" s="175">
        <f>$D151*$E151*'Закупки сырья'!L$43</f>
        <v>0</v>
      </c>
      <c r="P151" s="175">
        <f>$D151*$E151*'Закупки сырья'!M$43</f>
        <v>0</v>
      </c>
      <c r="Q151" s="433">
        <f>$D151*$E151*'Закупки сырья'!N$43</f>
        <v>0</v>
      </c>
    </row>
    <row r="152" spans="1:19" ht="10.5">
      <c r="A152" s="244"/>
      <c r="B152" s="438" t="s">
        <v>64</v>
      </c>
      <c r="C152" s="138"/>
      <c r="D152" s="347" t="s">
        <v>342</v>
      </c>
      <c r="E152" s="347" t="s">
        <v>342</v>
      </c>
      <c r="F152" s="347" t="s">
        <v>342</v>
      </c>
      <c r="G152" s="347" t="s">
        <v>342</v>
      </c>
      <c r="H152" s="347" t="s">
        <v>342</v>
      </c>
      <c r="I152" s="347" t="s">
        <v>342</v>
      </c>
      <c r="J152" s="347" t="s">
        <v>342</v>
      </c>
      <c r="K152" s="347" t="s">
        <v>342</v>
      </c>
      <c r="L152" s="347" t="s">
        <v>342</v>
      </c>
      <c r="M152" s="347" t="s">
        <v>342</v>
      </c>
      <c r="N152" s="347" t="s">
        <v>342</v>
      </c>
      <c r="O152" s="347" t="s">
        <v>342</v>
      </c>
      <c r="P152" s="347" t="s">
        <v>342</v>
      </c>
      <c r="Q152" s="406" t="s">
        <v>342</v>
      </c>
      <c r="R152" s="45"/>
      <c r="S152" s="45"/>
    </row>
    <row r="153" spans="1:17" ht="10.5">
      <c r="A153" s="182" t="str">
        <f>D142</f>
        <v>Продукт 5</v>
      </c>
      <c r="B153" s="183"/>
      <c r="C153" s="184"/>
      <c r="D153" s="185"/>
      <c r="E153" s="185"/>
      <c r="F153" s="186">
        <f aca="true" t="shared" si="37" ref="F153:Q153">SUM(F143:F152)</f>
        <v>0</v>
      </c>
      <c r="G153" s="186">
        <f t="shared" si="37"/>
        <v>0</v>
      </c>
      <c r="H153" s="186">
        <f t="shared" si="37"/>
        <v>0</v>
      </c>
      <c r="I153" s="186">
        <f t="shared" si="37"/>
        <v>0</v>
      </c>
      <c r="J153" s="186">
        <f t="shared" si="37"/>
        <v>0</v>
      </c>
      <c r="K153" s="186">
        <f t="shared" si="37"/>
        <v>0</v>
      </c>
      <c r="L153" s="186">
        <f t="shared" si="37"/>
        <v>0</v>
      </c>
      <c r="M153" s="186">
        <f t="shared" si="37"/>
        <v>0</v>
      </c>
      <c r="N153" s="186">
        <f t="shared" si="37"/>
        <v>0</v>
      </c>
      <c r="O153" s="186">
        <f t="shared" si="37"/>
        <v>0</v>
      </c>
      <c r="P153" s="186">
        <f t="shared" si="37"/>
        <v>0</v>
      </c>
      <c r="Q153" s="437">
        <f t="shared" si="37"/>
        <v>0</v>
      </c>
    </row>
    <row r="154" ht="11.25" thickBot="1"/>
    <row r="155" spans="1:17" ht="21">
      <c r="A155" s="80" t="s">
        <v>0</v>
      </c>
      <c r="B155" s="55" t="s">
        <v>90</v>
      </c>
      <c r="C155" s="171" t="s">
        <v>255</v>
      </c>
      <c r="D155" s="172" t="str">
        <f>VLOOKUP(C155,Классификаторы!$A$71:$B$92,2,0)</f>
        <v>Продукт 6</v>
      </c>
      <c r="E155" s="173" t="s">
        <v>94</v>
      </c>
      <c r="F155" s="173">
        <v>39448</v>
      </c>
      <c r="G155" s="173">
        <v>39479</v>
      </c>
      <c r="H155" s="173">
        <v>39508</v>
      </c>
      <c r="I155" s="173">
        <v>39539</v>
      </c>
      <c r="J155" s="173">
        <v>39569</v>
      </c>
      <c r="K155" s="173">
        <v>39600</v>
      </c>
      <c r="L155" s="173">
        <v>39630</v>
      </c>
      <c r="M155" s="173">
        <v>39661</v>
      </c>
      <c r="N155" s="173">
        <v>39692</v>
      </c>
      <c r="O155" s="173">
        <v>39722</v>
      </c>
      <c r="P155" s="173">
        <v>39753</v>
      </c>
      <c r="Q155" s="173">
        <v>39783</v>
      </c>
    </row>
    <row r="156" spans="1:17" s="45" customFormat="1" ht="10.5">
      <c r="A156" s="242"/>
      <c r="B156" s="16" t="s">
        <v>402</v>
      </c>
      <c r="C156" s="131" t="s">
        <v>374</v>
      </c>
      <c r="D156" s="431">
        <f>SUMIF('Технологическая карта 2 (вспом)'!$C$128:$C$139,B156,'Технологическая карта 2 (вспом)'!$AR$128:$AR$136)</f>
        <v>0</v>
      </c>
      <c r="E156" s="431">
        <f>SUMIF('Закупки сырья'!$A$35:$A$43,B156,'Закупки сырья'!$B$35:$B$43)</f>
        <v>0</v>
      </c>
      <c r="F156" s="431">
        <f>$D156*$E156*'Закупки сырья'!C$35</f>
        <v>0</v>
      </c>
      <c r="G156" s="431">
        <f>$D156*$E156*'Закупки сырья'!D$35</f>
        <v>0</v>
      </c>
      <c r="H156" s="431">
        <f>$D156*$E156*'Закупки сырья'!E$35</f>
        <v>0</v>
      </c>
      <c r="I156" s="431">
        <f>$D156*$E156*'Закупки сырья'!F$35</f>
        <v>0</v>
      </c>
      <c r="J156" s="431">
        <f>$D156*$E156*'Закупки сырья'!G$35</f>
        <v>0</v>
      </c>
      <c r="K156" s="431">
        <f>$D156*$E156*'Закупки сырья'!H$35</f>
        <v>0</v>
      </c>
      <c r="L156" s="431">
        <f>$D156*$E156*'Закупки сырья'!I$35</f>
        <v>0</v>
      </c>
      <c r="M156" s="431">
        <f>$D156*$E156*'Закупки сырья'!J$35</f>
        <v>0</v>
      </c>
      <c r="N156" s="431">
        <f>$D156*$E156*'Закупки сырья'!K$35</f>
        <v>0</v>
      </c>
      <c r="O156" s="431">
        <f>$D156*$E156*'Закупки сырья'!L$35</f>
        <v>0</v>
      </c>
      <c r="P156" s="431">
        <f>$D156*$E156*'Закупки сырья'!M$35</f>
        <v>0</v>
      </c>
      <c r="Q156" s="432">
        <f>$D156*$E156*'Закупки сырья'!N$35</f>
        <v>0</v>
      </c>
    </row>
    <row r="157" spans="1:17" ht="10.5">
      <c r="A157" s="174"/>
      <c r="B157" s="16" t="s">
        <v>403</v>
      </c>
      <c r="C157" s="131" t="s">
        <v>374</v>
      </c>
      <c r="D157" s="175">
        <f>SUMIF('Технологическая карта 2 (вспом)'!$C$128:$C$139,B157,'Технологическая карта 2 (вспом)'!$AR$128:$AR$136)</f>
        <v>0</v>
      </c>
      <c r="E157" s="175">
        <f>SUMIF('Закупки сырья'!$A$35:$A$43,B157,'Закупки сырья'!$B$35:$B$43)</f>
        <v>0</v>
      </c>
      <c r="F157" s="175">
        <f>$D157*$E157*'Закупки сырья'!C$36</f>
        <v>0</v>
      </c>
      <c r="G157" s="175">
        <f>$D157*$E157*'Закупки сырья'!D$36</f>
        <v>0</v>
      </c>
      <c r="H157" s="175">
        <f>$D157*$E157*'Закупки сырья'!E$36</f>
        <v>0</v>
      </c>
      <c r="I157" s="175">
        <f>$D157*$E157*'Закупки сырья'!F$36</f>
        <v>0</v>
      </c>
      <c r="J157" s="175">
        <f>$D157*$E157*'Закупки сырья'!G$36</f>
        <v>0</v>
      </c>
      <c r="K157" s="175">
        <f>$D157*$E157*'Закупки сырья'!H$36</f>
        <v>0</v>
      </c>
      <c r="L157" s="175">
        <f>$D157*$E157*'Закупки сырья'!I$36</f>
        <v>0</v>
      </c>
      <c r="M157" s="175">
        <f>$D157*$E157*'Закупки сырья'!J$36</f>
        <v>0</v>
      </c>
      <c r="N157" s="175">
        <f>$D157*$E157*'Закупки сырья'!K$36</f>
        <v>0</v>
      </c>
      <c r="O157" s="175">
        <f>$D157*$E157*'Закупки сырья'!L$36</f>
        <v>0</v>
      </c>
      <c r="P157" s="175">
        <f>$D157*$E157*'Закупки сырья'!M$36</f>
        <v>0</v>
      </c>
      <c r="Q157" s="433">
        <f>$D157*$E157*'Закупки сырья'!N$36</f>
        <v>0</v>
      </c>
    </row>
    <row r="158" spans="1:17" ht="10.5">
      <c r="A158" s="174"/>
      <c r="B158" s="16" t="s">
        <v>404</v>
      </c>
      <c r="C158" s="131" t="s">
        <v>374</v>
      </c>
      <c r="D158" s="175">
        <f>SUMIF('Технологическая карта 2 (вспом)'!$C$128:$C$139,B158,'Технологическая карта 2 (вспом)'!$AR$128:$AR$136)</f>
        <v>0</v>
      </c>
      <c r="E158" s="175">
        <f>SUMIF('Закупки сырья'!$A$35:$A$43,B158,'Закупки сырья'!$B$35:$B$43)</f>
        <v>0</v>
      </c>
      <c r="F158" s="175">
        <f>$D158*$E158*'Закупки сырья'!C$37</f>
        <v>0</v>
      </c>
      <c r="G158" s="175">
        <f>$D158*$E158*'Закупки сырья'!D$37</f>
        <v>0</v>
      </c>
      <c r="H158" s="175">
        <f>$D158*$E158*'Закупки сырья'!E$37</f>
        <v>0</v>
      </c>
      <c r="I158" s="175">
        <f>$D158*$E158*'Закупки сырья'!F$37</f>
        <v>0</v>
      </c>
      <c r="J158" s="175">
        <f>$D158*$E158*'Закупки сырья'!G$37</f>
        <v>0</v>
      </c>
      <c r="K158" s="175">
        <f>$D158*$E158*'Закупки сырья'!H$37</f>
        <v>0</v>
      </c>
      <c r="L158" s="175">
        <f>$D158*$E158*'Закупки сырья'!I$37</f>
        <v>0</v>
      </c>
      <c r="M158" s="175">
        <f>$D158*$E158*'Закупки сырья'!J$37</f>
        <v>0</v>
      </c>
      <c r="N158" s="175">
        <f>$D158*$E158*'Закупки сырья'!K$37</f>
        <v>0</v>
      </c>
      <c r="O158" s="175">
        <f>$D158*$E158*'Закупки сырья'!L$37</f>
        <v>0</v>
      </c>
      <c r="P158" s="175">
        <f>$D158*$E158*'Закупки сырья'!M$37</f>
        <v>0</v>
      </c>
      <c r="Q158" s="433">
        <f>$D158*$E158*'Закупки сырья'!N$37</f>
        <v>0</v>
      </c>
    </row>
    <row r="159" spans="1:17" ht="10.5">
      <c r="A159" s="174"/>
      <c r="B159" s="16" t="s">
        <v>405</v>
      </c>
      <c r="C159" s="131" t="s">
        <v>374</v>
      </c>
      <c r="D159" s="175">
        <f>SUMIF('Технологическая карта 2 (вспом)'!$C$128:$C$139,B159,'Технологическая карта 2 (вспом)'!$AR$128:$AR$136)</f>
        <v>0</v>
      </c>
      <c r="E159" s="175">
        <f>SUMIF('Закупки сырья'!$A$35:$A$43,B159,'Закупки сырья'!$B$35:$B$43)</f>
        <v>0</v>
      </c>
      <c r="F159" s="175">
        <f>$D159*$E159*'Закупки сырья'!C$38</f>
        <v>0</v>
      </c>
      <c r="G159" s="175">
        <f>$D159*$E159*'Закупки сырья'!D$38</f>
        <v>0</v>
      </c>
      <c r="H159" s="175">
        <f>$D159*$E159*'Закупки сырья'!E$38</f>
        <v>0</v>
      </c>
      <c r="I159" s="175">
        <f>$D159*$E159*'Закупки сырья'!F$38</f>
        <v>0</v>
      </c>
      <c r="J159" s="175">
        <f>$D159*$E159*'Закупки сырья'!G$38</f>
        <v>0</v>
      </c>
      <c r="K159" s="175">
        <f>$D159*$E159*'Закупки сырья'!H$38</f>
        <v>0</v>
      </c>
      <c r="L159" s="175">
        <f>$D159*$E159*'Закупки сырья'!I$38</f>
        <v>0</v>
      </c>
      <c r="M159" s="175">
        <f>$D159*$E159*'Закупки сырья'!J$38</f>
        <v>0</v>
      </c>
      <c r="N159" s="175">
        <f>$D159*$E159*'Закупки сырья'!K$38</f>
        <v>0</v>
      </c>
      <c r="O159" s="175">
        <f>$D159*$E159*'Закупки сырья'!L$38</f>
        <v>0</v>
      </c>
      <c r="P159" s="175">
        <f>$D159*$E159*'Закупки сырья'!M$38</f>
        <v>0</v>
      </c>
      <c r="Q159" s="433">
        <f>$D159*$E159*'Закупки сырья'!N$38</f>
        <v>0</v>
      </c>
    </row>
    <row r="160" spans="1:17" ht="10.5">
      <c r="A160" s="174"/>
      <c r="B160" s="16" t="s">
        <v>406</v>
      </c>
      <c r="C160" s="131" t="s">
        <v>374</v>
      </c>
      <c r="D160" s="175">
        <f>SUMIF('Технологическая карта 2 (вспом)'!$C$128:$C$139,B160,'Технологическая карта 2 (вспом)'!$AR$128:$AR$136)</f>
        <v>0</v>
      </c>
      <c r="E160" s="175">
        <f>SUMIF('Закупки сырья'!$A$35:$A$43,B160,'Закупки сырья'!$B$35:$B$43)</f>
        <v>0</v>
      </c>
      <c r="F160" s="175">
        <f>$D160*$E160*'Закупки сырья'!C$39</f>
        <v>0</v>
      </c>
      <c r="G160" s="175">
        <f>$D160*$E160*'Закупки сырья'!D$39</f>
        <v>0</v>
      </c>
      <c r="H160" s="175">
        <f>$D160*$E160*'Закупки сырья'!E$39</f>
        <v>0</v>
      </c>
      <c r="I160" s="175">
        <f>$D160*$E160*'Закупки сырья'!F$39</f>
        <v>0</v>
      </c>
      <c r="J160" s="175">
        <f>$D160*$E160*'Закупки сырья'!G$39</f>
        <v>0</v>
      </c>
      <c r="K160" s="175">
        <f>$D160*$E160*'Закупки сырья'!H$39</f>
        <v>0</v>
      </c>
      <c r="L160" s="175">
        <f>$D160*$E160*'Закупки сырья'!I$39</f>
        <v>0</v>
      </c>
      <c r="M160" s="175">
        <f>$D160*$E160*'Закупки сырья'!J$39</f>
        <v>0</v>
      </c>
      <c r="N160" s="175">
        <f>$D160*$E160*'Закупки сырья'!K$39</f>
        <v>0</v>
      </c>
      <c r="O160" s="175">
        <f>$D160*$E160*'Закупки сырья'!L$39</f>
        <v>0</v>
      </c>
      <c r="P160" s="175">
        <f>$D160*$E160*'Закупки сырья'!M$39</f>
        <v>0</v>
      </c>
      <c r="Q160" s="433">
        <f>$D160*$E160*'Закупки сырья'!N$39</f>
        <v>0</v>
      </c>
    </row>
    <row r="161" spans="1:17" ht="10.5">
      <c r="A161" s="174"/>
      <c r="B161" s="16" t="s">
        <v>407</v>
      </c>
      <c r="C161" s="131" t="s">
        <v>374</v>
      </c>
      <c r="D161" s="175">
        <f>SUMIF('Технологическая карта 2 (вспом)'!$C$128:$C$139,B161,'Технологическая карта 2 (вспом)'!$AR$128:$AR$136)</f>
        <v>0</v>
      </c>
      <c r="E161" s="175">
        <f>SUMIF('Закупки сырья'!$A$35:$A$43,B161,'Закупки сырья'!$B$35:$B$43)</f>
        <v>0</v>
      </c>
      <c r="F161" s="175">
        <f>$D161*$E161*'Закупки сырья'!C$40</f>
        <v>0</v>
      </c>
      <c r="G161" s="175">
        <f>$D161*$E161*'Закупки сырья'!D$40</f>
        <v>0</v>
      </c>
      <c r="H161" s="175">
        <f>$D161*$E161*'Закупки сырья'!E$40</f>
        <v>0</v>
      </c>
      <c r="I161" s="175">
        <f>$D161*$E161*'Закупки сырья'!F$40</f>
        <v>0</v>
      </c>
      <c r="J161" s="175">
        <f>$D161*$E161*'Закупки сырья'!G$40</f>
        <v>0</v>
      </c>
      <c r="K161" s="175">
        <f>$D161*$E161*'Закупки сырья'!H$40</f>
        <v>0</v>
      </c>
      <c r="L161" s="175">
        <f>$D161*$E161*'Закупки сырья'!I$40</f>
        <v>0</v>
      </c>
      <c r="M161" s="175">
        <f>$D161*$E161*'Закупки сырья'!J$40</f>
        <v>0</v>
      </c>
      <c r="N161" s="175">
        <f>$D161*$E161*'Закупки сырья'!K$40</f>
        <v>0</v>
      </c>
      <c r="O161" s="175">
        <f>$D161*$E161*'Закупки сырья'!L$40</f>
        <v>0</v>
      </c>
      <c r="P161" s="175">
        <f>$D161*$E161*'Закупки сырья'!M$40</f>
        <v>0</v>
      </c>
      <c r="Q161" s="433">
        <f>$D161*$E161*'Закупки сырья'!N$40</f>
        <v>0</v>
      </c>
    </row>
    <row r="162" spans="1:17" ht="10.5">
      <c r="A162" s="174"/>
      <c r="B162" s="16" t="s">
        <v>408</v>
      </c>
      <c r="C162" s="131" t="s">
        <v>374</v>
      </c>
      <c r="D162" s="175">
        <f>SUMIF('Технологическая карта 2 (вспом)'!$C$128:$C$139,B162,'Технологическая карта 2 (вспом)'!$AR$128:$AR$136)</f>
        <v>0</v>
      </c>
      <c r="E162" s="175">
        <f>SUMIF('Закупки сырья'!$A$35:$A$43,B162,'Закупки сырья'!$B$35:$B$43)</f>
        <v>0</v>
      </c>
      <c r="F162" s="175">
        <f>$D162*$E162*'Закупки сырья'!C$41</f>
        <v>0</v>
      </c>
      <c r="G162" s="175">
        <f>$D162*$E162*'Закупки сырья'!D$41</f>
        <v>0</v>
      </c>
      <c r="H162" s="175">
        <f>$D162*$E162*'Закупки сырья'!E$41</f>
        <v>0</v>
      </c>
      <c r="I162" s="175">
        <f>$D162*$E162*'Закупки сырья'!F$41</f>
        <v>0</v>
      </c>
      <c r="J162" s="175">
        <f>$D162*$E162*'Закупки сырья'!G$41</f>
        <v>0</v>
      </c>
      <c r="K162" s="175">
        <f>$D162*$E162*'Закупки сырья'!H$41</f>
        <v>0</v>
      </c>
      <c r="L162" s="175">
        <f>$D162*$E162*'Закупки сырья'!I$41</f>
        <v>0</v>
      </c>
      <c r="M162" s="175">
        <f>$D162*$E162*'Закупки сырья'!J$41</f>
        <v>0</v>
      </c>
      <c r="N162" s="175">
        <f>$D162*$E162*'Закупки сырья'!K$41</f>
        <v>0</v>
      </c>
      <c r="O162" s="175">
        <f>$D162*$E162*'Закупки сырья'!L$41</f>
        <v>0</v>
      </c>
      <c r="P162" s="175">
        <f>$D162*$E162*'Закупки сырья'!M$41</f>
        <v>0</v>
      </c>
      <c r="Q162" s="433">
        <f>$D162*$E162*'Закупки сырья'!N$41</f>
        <v>0</v>
      </c>
    </row>
    <row r="163" spans="1:17" ht="10.5">
      <c r="A163" s="174"/>
      <c r="B163" s="16" t="s">
        <v>409</v>
      </c>
      <c r="C163" s="131" t="s">
        <v>374</v>
      </c>
      <c r="D163" s="175">
        <f>SUMIF('Технологическая карта 2 (вспом)'!$C$128:$C$139,B163,'Технологическая карта 2 (вспом)'!$AR$128:$AR$136)</f>
        <v>0</v>
      </c>
      <c r="E163" s="175">
        <f>SUMIF('Закупки сырья'!$A$35:$A$43,B163,'Закупки сырья'!$B$35:$B$43)</f>
        <v>0</v>
      </c>
      <c r="F163" s="175">
        <f>$D163*$E163*'Закупки сырья'!C$42</f>
        <v>0</v>
      </c>
      <c r="G163" s="175">
        <f>$D163*$E163*'Закупки сырья'!D$42</f>
        <v>0</v>
      </c>
      <c r="H163" s="175">
        <f>$D163*$E163*'Закупки сырья'!E$42</f>
        <v>0</v>
      </c>
      <c r="I163" s="175">
        <f>$D163*$E163*'Закупки сырья'!F$42</f>
        <v>0</v>
      </c>
      <c r="J163" s="175">
        <f>$D163*$E163*'Закупки сырья'!G$42</f>
        <v>0</v>
      </c>
      <c r="K163" s="175">
        <f>$D163*$E163*'Закупки сырья'!H$42</f>
        <v>0</v>
      </c>
      <c r="L163" s="175">
        <f>$D163*$E163*'Закупки сырья'!I$42</f>
        <v>0</v>
      </c>
      <c r="M163" s="175">
        <f>$D163*$E163*'Закупки сырья'!J$42</f>
        <v>0</v>
      </c>
      <c r="N163" s="175">
        <f>$D163*$E163*'Закупки сырья'!K$42</f>
        <v>0</v>
      </c>
      <c r="O163" s="175">
        <f>$D163*$E163*'Закупки сырья'!L$42</f>
        <v>0</v>
      </c>
      <c r="P163" s="175">
        <f>$D163*$E163*'Закупки сырья'!M$42</f>
        <v>0</v>
      </c>
      <c r="Q163" s="433">
        <f>$D163*$E163*'Закупки сырья'!N$42</f>
        <v>0</v>
      </c>
    </row>
    <row r="164" spans="1:17" ht="10.5">
      <c r="A164" s="174"/>
      <c r="B164" s="16" t="s">
        <v>410</v>
      </c>
      <c r="C164" s="131" t="s">
        <v>374</v>
      </c>
      <c r="D164" s="175">
        <f>SUMIF('Технологическая карта 2 (вспом)'!$C$128:$C$139,B164,'Технологическая карта 2 (вспом)'!$AR$128:$AR$136)</f>
        <v>0</v>
      </c>
      <c r="E164" s="175">
        <f>SUMIF('Закупки сырья'!$A$35:$A$43,B164,'Закупки сырья'!$B$35:$B$43)</f>
        <v>0</v>
      </c>
      <c r="F164" s="175">
        <f>$D164*$E164*'Закупки сырья'!C$43</f>
        <v>0</v>
      </c>
      <c r="G164" s="175">
        <f>$D164*$E164*'Закупки сырья'!D$43</f>
        <v>0</v>
      </c>
      <c r="H164" s="175">
        <f>$D164*$E164*'Закупки сырья'!E$43</f>
        <v>0</v>
      </c>
      <c r="I164" s="175">
        <f>$D164*$E164*'Закупки сырья'!F$43</f>
        <v>0</v>
      </c>
      <c r="J164" s="175">
        <f>$D164*$E164*'Закупки сырья'!G$43</f>
        <v>0</v>
      </c>
      <c r="K164" s="175">
        <f>$D164*$E164*'Закупки сырья'!H$43</f>
        <v>0</v>
      </c>
      <c r="L164" s="175">
        <f>$D164*$E164*'Закупки сырья'!I$43</f>
        <v>0</v>
      </c>
      <c r="M164" s="175">
        <f>$D164*$E164*'Закупки сырья'!J$43</f>
        <v>0</v>
      </c>
      <c r="N164" s="175">
        <f>$D164*$E164*'Закупки сырья'!K$43</f>
        <v>0</v>
      </c>
      <c r="O164" s="175">
        <f>$D164*$E164*'Закупки сырья'!L$43</f>
        <v>0</v>
      </c>
      <c r="P164" s="175">
        <f>$D164*$E164*'Закупки сырья'!M$43</f>
        <v>0</v>
      </c>
      <c r="Q164" s="433">
        <f>$D164*$E164*'Закупки сырья'!N$43</f>
        <v>0</v>
      </c>
    </row>
    <row r="165" spans="1:19" ht="10.5">
      <c r="A165" s="244"/>
      <c r="B165" s="438" t="s">
        <v>64</v>
      </c>
      <c r="C165" s="138"/>
      <c r="D165" s="347" t="s">
        <v>342</v>
      </c>
      <c r="E165" s="347" t="s">
        <v>342</v>
      </c>
      <c r="F165" s="347" t="s">
        <v>342</v>
      </c>
      <c r="G165" s="347" t="s">
        <v>342</v>
      </c>
      <c r="H165" s="347" t="s">
        <v>342</v>
      </c>
      <c r="I165" s="347" t="s">
        <v>342</v>
      </c>
      <c r="J165" s="347" t="s">
        <v>342</v>
      </c>
      <c r="K165" s="347" t="s">
        <v>342</v>
      </c>
      <c r="L165" s="347" t="s">
        <v>342</v>
      </c>
      <c r="M165" s="347" t="s">
        <v>342</v>
      </c>
      <c r="N165" s="347" t="s">
        <v>342</v>
      </c>
      <c r="O165" s="347" t="s">
        <v>342</v>
      </c>
      <c r="P165" s="347" t="s">
        <v>342</v>
      </c>
      <c r="Q165" s="406" t="s">
        <v>342</v>
      </c>
      <c r="R165" s="45"/>
      <c r="S165" s="45"/>
    </row>
    <row r="166" spans="1:17" ht="10.5">
      <c r="A166" s="182" t="str">
        <f>D155</f>
        <v>Продукт 6</v>
      </c>
      <c r="B166" s="183"/>
      <c r="C166" s="184"/>
      <c r="D166" s="185"/>
      <c r="E166" s="185"/>
      <c r="F166" s="186">
        <f aca="true" t="shared" si="38" ref="F166:Q166">SUM(F156:F165)</f>
        <v>0</v>
      </c>
      <c r="G166" s="186">
        <f t="shared" si="38"/>
        <v>0</v>
      </c>
      <c r="H166" s="186">
        <f t="shared" si="38"/>
        <v>0</v>
      </c>
      <c r="I166" s="186">
        <f t="shared" si="38"/>
        <v>0</v>
      </c>
      <c r="J166" s="186">
        <f t="shared" si="38"/>
        <v>0</v>
      </c>
      <c r="K166" s="186">
        <f t="shared" si="38"/>
        <v>0</v>
      </c>
      <c r="L166" s="186">
        <f t="shared" si="38"/>
        <v>0</v>
      </c>
      <c r="M166" s="186">
        <f t="shared" si="38"/>
        <v>0</v>
      </c>
      <c r="N166" s="186">
        <f t="shared" si="38"/>
        <v>0</v>
      </c>
      <c r="O166" s="186">
        <f t="shared" si="38"/>
        <v>0</v>
      </c>
      <c r="P166" s="186">
        <f t="shared" si="38"/>
        <v>0</v>
      </c>
      <c r="Q166" s="437">
        <f t="shared" si="38"/>
        <v>0</v>
      </c>
    </row>
    <row r="167" ht="11.25" thickBot="1"/>
    <row r="168" spans="1:17" ht="21">
      <c r="A168" s="80" t="s">
        <v>0</v>
      </c>
      <c r="B168" s="55" t="s">
        <v>90</v>
      </c>
      <c r="C168" s="171" t="s">
        <v>256</v>
      </c>
      <c r="D168" s="172" t="str">
        <f>VLOOKUP(C168,Классификаторы!$A$71:$B$92,2,0)</f>
        <v>Продукт 7</v>
      </c>
      <c r="E168" s="173" t="s">
        <v>94</v>
      </c>
      <c r="F168" s="173">
        <v>39448</v>
      </c>
      <c r="G168" s="173">
        <v>39479</v>
      </c>
      <c r="H168" s="173">
        <v>39508</v>
      </c>
      <c r="I168" s="173">
        <v>39539</v>
      </c>
      <c r="J168" s="173">
        <v>39569</v>
      </c>
      <c r="K168" s="173">
        <v>39600</v>
      </c>
      <c r="L168" s="173">
        <v>39630</v>
      </c>
      <c r="M168" s="173">
        <v>39661</v>
      </c>
      <c r="N168" s="173">
        <v>39692</v>
      </c>
      <c r="O168" s="173">
        <v>39722</v>
      </c>
      <c r="P168" s="173">
        <v>39753</v>
      </c>
      <c r="Q168" s="173">
        <v>39783</v>
      </c>
    </row>
    <row r="169" spans="1:17" s="45" customFormat="1" ht="10.5">
      <c r="A169" s="242"/>
      <c r="B169" s="16" t="s">
        <v>402</v>
      </c>
      <c r="C169" s="131" t="s">
        <v>374</v>
      </c>
      <c r="D169" s="431">
        <f>SUMIF('Технологическая карта 2 (вспом)'!$C$128:$C$139,B169,'Технологическая карта 2 (вспом)'!$AZ$128:$AZ$136)</f>
        <v>0</v>
      </c>
      <c r="E169" s="431">
        <f>SUMIF('Закупки сырья'!$A$35:$A$43,B169,'Закупки сырья'!$B$35:$B$43)</f>
        <v>0</v>
      </c>
      <c r="F169" s="431">
        <f>$D169*$E169*'Закупки сырья'!C$35</f>
        <v>0</v>
      </c>
      <c r="G169" s="431">
        <f>$D169*$E169*'Закупки сырья'!D$35</f>
        <v>0</v>
      </c>
      <c r="H169" s="431">
        <f>$D169*$E169*'Закупки сырья'!E$35</f>
        <v>0</v>
      </c>
      <c r="I169" s="431">
        <f>$D169*$E169*'Закупки сырья'!F$35</f>
        <v>0</v>
      </c>
      <c r="J169" s="431">
        <f>$D169*$E169*'Закупки сырья'!G$35</f>
        <v>0</v>
      </c>
      <c r="K169" s="431">
        <f>$D169*$E169*'Закупки сырья'!H$35</f>
        <v>0</v>
      </c>
      <c r="L169" s="431">
        <f>$D169*$E169*'Закупки сырья'!I$35</f>
        <v>0</v>
      </c>
      <c r="M169" s="431">
        <f>$D169*$E169*'Закупки сырья'!J$35</f>
        <v>0</v>
      </c>
      <c r="N169" s="431">
        <f>$D169*$E169*'Закупки сырья'!K$35</f>
        <v>0</v>
      </c>
      <c r="O169" s="431">
        <f>$D169*$E169*'Закупки сырья'!L$35</f>
        <v>0</v>
      </c>
      <c r="P169" s="431">
        <f>$D169*$E169*'Закупки сырья'!M$35</f>
        <v>0</v>
      </c>
      <c r="Q169" s="432">
        <f>$D169*$E169*'Закупки сырья'!N$35</f>
        <v>0</v>
      </c>
    </row>
    <row r="170" spans="1:17" ht="10.5">
      <c r="A170" s="174"/>
      <c r="B170" s="16" t="s">
        <v>403</v>
      </c>
      <c r="C170" s="131" t="s">
        <v>374</v>
      </c>
      <c r="D170" s="175">
        <f>SUMIF('Технологическая карта 2 (вспом)'!$C$128:$C$139,B170,'Технологическая карта 2 (вспом)'!$AZ$128:$AZ$136)</f>
        <v>0</v>
      </c>
      <c r="E170" s="175">
        <f>SUMIF('Закупки сырья'!$A$35:$A$43,B170,'Закупки сырья'!$B$35:$B$43)</f>
        <v>0</v>
      </c>
      <c r="F170" s="175">
        <f>$D170*$E170*'Закупки сырья'!C$36</f>
        <v>0</v>
      </c>
      <c r="G170" s="175">
        <f>$D170*$E170*'Закупки сырья'!D$36</f>
        <v>0</v>
      </c>
      <c r="H170" s="175">
        <f>$D170*$E170*'Закупки сырья'!E$36</f>
        <v>0</v>
      </c>
      <c r="I170" s="175">
        <f>$D170*$E170*'Закупки сырья'!F$36</f>
        <v>0</v>
      </c>
      <c r="J170" s="175">
        <f>$D170*$E170*'Закупки сырья'!G$36</f>
        <v>0</v>
      </c>
      <c r="K170" s="175">
        <f>$D170*$E170*'Закупки сырья'!H$36</f>
        <v>0</v>
      </c>
      <c r="L170" s="175">
        <f>$D170*$E170*'Закупки сырья'!I$36</f>
        <v>0</v>
      </c>
      <c r="M170" s="175">
        <f>$D170*$E170*'Закупки сырья'!J$36</f>
        <v>0</v>
      </c>
      <c r="N170" s="175">
        <f>$D170*$E170*'Закупки сырья'!K$36</f>
        <v>0</v>
      </c>
      <c r="O170" s="175">
        <f>$D170*$E170*'Закупки сырья'!L$36</f>
        <v>0</v>
      </c>
      <c r="P170" s="175">
        <f>$D170*$E170*'Закупки сырья'!M$36</f>
        <v>0</v>
      </c>
      <c r="Q170" s="433">
        <f>$D170*$E170*'Закупки сырья'!N$36</f>
        <v>0</v>
      </c>
    </row>
    <row r="171" spans="1:17" ht="10.5">
      <c r="A171" s="174"/>
      <c r="B171" s="16" t="s">
        <v>404</v>
      </c>
      <c r="C171" s="131" t="s">
        <v>374</v>
      </c>
      <c r="D171" s="175">
        <f>SUMIF('Технологическая карта 2 (вспом)'!$C$128:$C$139,B171,'Технологическая карта 2 (вспом)'!$AZ$128:$AZ$136)</f>
        <v>0</v>
      </c>
      <c r="E171" s="175">
        <f>SUMIF('Закупки сырья'!$A$35:$A$43,B171,'Закупки сырья'!$B$35:$B$43)</f>
        <v>0</v>
      </c>
      <c r="F171" s="175">
        <f>$D171*$E171*'Закупки сырья'!C$37</f>
        <v>0</v>
      </c>
      <c r="G171" s="175">
        <f>$D171*$E171*'Закупки сырья'!D$37</f>
        <v>0</v>
      </c>
      <c r="H171" s="175">
        <f>$D171*$E171*'Закупки сырья'!E$37</f>
        <v>0</v>
      </c>
      <c r="I171" s="175">
        <f>$D171*$E171*'Закупки сырья'!F$37</f>
        <v>0</v>
      </c>
      <c r="J171" s="175">
        <f>$D171*$E171*'Закупки сырья'!G$37</f>
        <v>0</v>
      </c>
      <c r="K171" s="175">
        <f>$D171*$E171*'Закупки сырья'!H$37</f>
        <v>0</v>
      </c>
      <c r="L171" s="175">
        <f>$D171*$E171*'Закупки сырья'!I$37</f>
        <v>0</v>
      </c>
      <c r="M171" s="175">
        <f>$D171*$E171*'Закупки сырья'!J$37</f>
        <v>0</v>
      </c>
      <c r="N171" s="175">
        <f>$D171*$E171*'Закупки сырья'!K$37</f>
        <v>0</v>
      </c>
      <c r="O171" s="175">
        <f>$D171*$E171*'Закупки сырья'!L$37</f>
        <v>0</v>
      </c>
      <c r="P171" s="175">
        <f>$D171*$E171*'Закупки сырья'!M$37</f>
        <v>0</v>
      </c>
      <c r="Q171" s="433">
        <f>$D171*$E171*'Закупки сырья'!N$37</f>
        <v>0</v>
      </c>
    </row>
    <row r="172" spans="1:17" ht="10.5">
      <c r="A172" s="174"/>
      <c r="B172" s="16" t="s">
        <v>405</v>
      </c>
      <c r="C172" s="131" t="s">
        <v>374</v>
      </c>
      <c r="D172" s="175">
        <f>SUMIF('Технологическая карта 2 (вспом)'!$C$128:$C$139,B172,'Технологическая карта 2 (вспом)'!$AZ$128:$AZ$136)</f>
        <v>0</v>
      </c>
      <c r="E172" s="175">
        <f>SUMIF('Закупки сырья'!$A$35:$A$43,B172,'Закупки сырья'!$B$35:$B$43)</f>
        <v>0</v>
      </c>
      <c r="F172" s="175">
        <f>$D172*$E172*'Закупки сырья'!C$38</f>
        <v>0</v>
      </c>
      <c r="G172" s="175">
        <f>$D172*$E172*'Закупки сырья'!D$38</f>
        <v>0</v>
      </c>
      <c r="H172" s="175">
        <f>$D172*$E172*'Закупки сырья'!E$38</f>
        <v>0</v>
      </c>
      <c r="I172" s="175">
        <f>$D172*$E172*'Закупки сырья'!F$38</f>
        <v>0</v>
      </c>
      <c r="J172" s="175">
        <f>$D172*$E172*'Закупки сырья'!G$38</f>
        <v>0</v>
      </c>
      <c r="K172" s="175">
        <f>$D172*$E172*'Закупки сырья'!H$38</f>
        <v>0</v>
      </c>
      <c r="L172" s="175">
        <f>$D172*$E172*'Закупки сырья'!I$38</f>
        <v>0</v>
      </c>
      <c r="M172" s="175">
        <f>$D172*$E172*'Закупки сырья'!J$38</f>
        <v>0</v>
      </c>
      <c r="N172" s="175">
        <f>$D172*$E172*'Закупки сырья'!K$38</f>
        <v>0</v>
      </c>
      <c r="O172" s="175">
        <f>$D172*$E172*'Закупки сырья'!L$38</f>
        <v>0</v>
      </c>
      <c r="P172" s="175">
        <f>$D172*$E172*'Закупки сырья'!M$38</f>
        <v>0</v>
      </c>
      <c r="Q172" s="433">
        <f>$D172*$E172*'Закупки сырья'!N$38</f>
        <v>0</v>
      </c>
    </row>
    <row r="173" spans="1:17" ht="10.5">
      <c r="A173" s="174"/>
      <c r="B173" s="16" t="s">
        <v>406</v>
      </c>
      <c r="C173" s="131" t="s">
        <v>374</v>
      </c>
      <c r="D173" s="175">
        <f>SUMIF('Технологическая карта 2 (вспом)'!$C$128:$C$139,B173,'Технологическая карта 2 (вспом)'!$AZ$128:$AZ$136)</f>
        <v>0</v>
      </c>
      <c r="E173" s="175">
        <f>SUMIF('Закупки сырья'!$A$35:$A$43,B173,'Закупки сырья'!$B$35:$B$43)</f>
        <v>0</v>
      </c>
      <c r="F173" s="175">
        <f>$D173*$E173*'Закупки сырья'!C$39</f>
        <v>0</v>
      </c>
      <c r="G173" s="175">
        <f>$D173*$E173*'Закупки сырья'!D$39</f>
        <v>0</v>
      </c>
      <c r="H173" s="175">
        <f>$D173*$E173*'Закупки сырья'!E$39</f>
        <v>0</v>
      </c>
      <c r="I173" s="175">
        <f>$D173*$E173*'Закупки сырья'!F$39</f>
        <v>0</v>
      </c>
      <c r="J173" s="175">
        <f>$D173*$E173*'Закупки сырья'!G$39</f>
        <v>0</v>
      </c>
      <c r="K173" s="175">
        <f>$D173*$E173*'Закупки сырья'!H$39</f>
        <v>0</v>
      </c>
      <c r="L173" s="175">
        <f>$D173*$E173*'Закупки сырья'!I$39</f>
        <v>0</v>
      </c>
      <c r="M173" s="175">
        <f>$D173*$E173*'Закупки сырья'!J$39</f>
        <v>0</v>
      </c>
      <c r="N173" s="175">
        <f>$D173*$E173*'Закупки сырья'!K$39</f>
        <v>0</v>
      </c>
      <c r="O173" s="175">
        <f>$D173*$E173*'Закупки сырья'!L$39</f>
        <v>0</v>
      </c>
      <c r="P173" s="175">
        <f>$D173*$E173*'Закупки сырья'!M$39</f>
        <v>0</v>
      </c>
      <c r="Q173" s="433">
        <f>$D173*$E173*'Закупки сырья'!N$39</f>
        <v>0</v>
      </c>
    </row>
    <row r="174" spans="1:17" ht="10.5">
      <c r="A174" s="174"/>
      <c r="B174" s="16" t="s">
        <v>407</v>
      </c>
      <c r="C174" s="131" t="s">
        <v>374</v>
      </c>
      <c r="D174" s="175">
        <f>SUMIF('Технологическая карта 2 (вспом)'!$C$128:$C$139,B174,'Технологическая карта 2 (вспом)'!$AZ$128:$AZ$136)</f>
        <v>0</v>
      </c>
      <c r="E174" s="175">
        <f>SUMIF('Закупки сырья'!$A$35:$A$43,B174,'Закупки сырья'!$B$35:$B$43)</f>
        <v>0</v>
      </c>
      <c r="F174" s="175">
        <f>$D174*$E174*'Закупки сырья'!C$40</f>
        <v>0</v>
      </c>
      <c r="G174" s="175">
        <f>$D174*$E174*'Закупки сырья'!D$40</f>
        <v>0</v>
      </c>
      <c r="H174" s="175">
        <f>$D174*$E174*'Закупки сырья'!E$40</f>
        <v>0</v>
      </c>
      <c r="I174" s="175">
        <f>$D174*$E174*'Закупки сырья'!F$40</f>
        <v>0</v>
      </c>
      <c r="J174" s="175">
        <f>$D174*$E174*'Закупки сырья'!G$40</f>
        <v>0</v>
      </c>
      <c r="K174" s="175">
        <f>$D174*$E174*'Закупки сырья'!H$40</f>
        <v>0</v>
      </c>
      <c r="L174" s="175">
        <f>$D174*$E174*'Закупки сырья'!I$40</f>
        <v>0</v>
      </c>
      <c r="M174" s="175">
        <f>$D174*$E174*'Закупки сырья'!J$40</f>
        <v>0</v>
      </c>
      <c r="N174" s="175">
        <f>$D174*$E174*'Закупки сырья'!K$40</f>
        <v>0</v>
      </c>
      <c r="O174" s="175">
        <f>$D174*$E174*'Закупки сырья'!L$40</f>
        <v>0</v>
      </c>
      <c r="P174" s="175">
        <f>$D174*$E174*'Закупки сырья'!M$40</f>
        <v>0</v>
      </c>
      <c r="Q174" s="433">
        <f>$D174*$E174*'Закупки сырья'!N$40</f>
        <v>0</v>
      </c>
    </row>
    <row r="175" spans="1:17" ht="10.5">
      <c r="A175" s="174"/>
      <c r="B175" s="16" t="s">
        <v>408</v>
      </c>
      <c r="C175" s="131" t="s">
        <v>374</v>
      </c>
      <c r="D175" s="175">
        <f>SUMIF('Технологическая карта 2 (вспом)'!$C$128:$C$139,B175,'Технологическая карта 2 (вспом)'!$AZ$128:$AZ$136)</f>
        <v>0</v>
      </c>
      <c r="E175" s="175">
        <f>SUMIF('Закупки сырья'!$A$35:$A$43,B175,'Закупки сырья'!$B$35:$B$43)</f>
        <v>0</v>
      </c>
      <c r="F175" s="175">
        <f>$D175*$E175*'Закупки сырья'!C$41</f>
        <v>0</v>
      </c>
      <c r="G175" s="175">
        <f>$D175*$E175*'Закупки сырья'!D$41</f>
        <v>0</v>
      </c>
      <c r="H175" s="175">
        <f>$D175*$E175*'Закупки сырья'!E$41</f>
        <v>0</v>
      </c>
      <c r="I175" s="175">
        <f>$D175*$E175*'Закупки сырья'!F$41</f>
        <v>0</v>
      </c>
      <c r="J175" s="175">
        <f>$D175*$E175*'Закупки сырья'!G$41</f>
        <v>0</v>
      </c>
      <c r="K175" s="175">
        <f>$D175*$E175*'Закупки сырья'!H$41</f>
        <v>0</v>
      </c>
      <c r="L175" s="175">
        <f>$D175*$E175*'Закупки сырья'!I$41</f>
        <v>0</v>
      </c>
      <c r="M175" s="175">
        <f>$D175*$E175*'Закупки сырья'!J$41</f>
        <v>0</v>
      </c>
      <c r="N175" s="175">
        <f>$D175*$E175*'Закупки сырья'!K$41</f>
        <v>0</v>
      </c>
      <c r="O175" s="175">
        <f>$D175*$E175*'Закупки сырья'!L$41</f>
        <v>0</v>
      </c>
      <c r="P175" s="175">
        <f>$D175*$E175*'Закупки сырья'!M$41</f>
        <v>0</v>
      </c>
      <c r="Q175" s="433">
        <f>$D175*$E175*'Закупки сырья'!N$41</f>
        <v>0</v>
      </c>
    </row>
    <row r="176" spans="1:17" ht="10.5">
      <c r="A176" s="174"/>
      <c r="B176" s="16" t="s">
        <v>409</v>
      </c>
      <c r="C176" s="131" t="s">
        <v>374</v>
      </c>
      <c r="D176" s="175">
        <f>SUMIF('Технологическая карта 2 (вспом)'!$C$128:$C$139,B176,'Технологическая карта 2 (вспом)'!$AZ$128:$AZ$136)</f>
        <v>0</v>
      </c>
      <c r="E176" s="175">
        <f>SUMIF('Закупки сырья'!$A$35:$A$43,B176,'Закупки сырья'!$B$35:$B$43)</f>
        <v>0</v>
      </c>
      <c r="F176" s="175">
        <f>$D176*$E176*'Закупки сырья'!C$42</f>
        <v>0</v>
      </c>
      <c r="G176" s="175">
        <f>$D176*$E176*'Закупки сырья'!D$42</f>
        <v>0</v>
      </c>
      <c r="H176" s="175">
        <f>$D176*$E176*'Закупки сырья'!E$42</f>
        <v>0</v>
      </c>
      <c r="I176" s="175">
        <f>$D176*$E176*'Закупки сырья'!F$42</f>
        <v>0</v>
      </c>
      <c r="J176" s="175">
        <f>$D176*$E176*'Закупки сырья'!G$42</f>
        <v>0</v>
      </c>
      <c r="K176" s="175">
        <f>$D176*$E176*'Закупки сырья'!H$42</f>
        <v>0</v>
      </c>
      <c r="L176" s="175">
        <f>$D176*$E176*'Закупки сырья'!I$42</f>
        <v>0</v>
      </c>
      <c r="M176" s="175">
        <f>$D176*$E176*'Закупки сырья'!J$42</f>
        <v>0</v>
      </c>
      <c r="N176" s="175">
        <f>$D176*$E176*'Закупки сырья'!K$42</f>
        <v>0</v>
      </c>
      <c r="O176" s="175">
        <f>$D176*$E176*'Закупки сырья'!L$42</f>
        <v>0</v>
      </c>
      <c r="P176" s="175">
        <f>$D176*$E176*'Закупки сырья'!M$42</f>
        <v>0</v>
      </c>
      <c r="Q176" s="433">
        <f>$D176*$E176*'Закупки сырья'!N$42</f>
        <v>0</v>
      </c>
    </row>
    <row r="177" spans="1:17" ht="10.5">
      <c r="A177" s="174"/>
      <c r="B177" s="16" t="s">
        <v>410</v>
      </c>
      <c r="C177" s="131" t="s">
        <v>374</v>
      </c>
      <c r="D177" s="175">
        <f>SUMIF('Технологическая карта 2 (вспом)'!$C$128:$C$139,B177,'Технологическая карта 2 (вспом)'!$AZ$128:$AZ$136)</f>
        <v>0</v>
      </c>
      <c r="E177" s="175">
        <f>SUMIF('Закупки сырья'!$A$35:$A$43,B177,'Закупки сырья'!$B$35:$B$43)</f>
        <v>0</v>
      </c>
      <c r="F177" s="175">
        <f>$D177*$E177*'Закупки сырья'!C$43</f>
        <v>0</v>
      </c>
      <c r="G177" s="175">
        <f>$D177*$E177*'Закупки сырья'!D$43</f>
        <v>0</v>
      </c>
      <c r="H177" s="175">
        <f>$D177*$E177*'Закупки сырья'!E$43</f>
        <v>0</v>
      </c>
      <c r="I177" s="175">
        <f>$D177*$E177*'Закупки сырья'!F$43</f>
        <v>0</v>
      </c>
      <c r="J177" s="175">
        <f>$D177*$E177*'Закупки сырья'!G$43</f>
        <v>0</v>
      </c>
      <c r="K177" s="175">
        <f>$D177*$E177*'Закупки сырья'!H$43</f>
        <v>0</v>
      </c>
      <c r="L177" s="175">
        <f>$D177*$E177*'Закупки сырья'!I$43</f>
        <v>0</v>
      </c>
      <c r="M177" s="175">
        <f>$D177*$E177*'Закупки сырья'!J$43</f>
        <v>0</v>
      </c>
      <c r="N177" s="175">
        <f>$D177*$E177*'Закупки сырья'!K$43</f>
        <v>0</v>
      </c>
      <c r="O177" s="175">
        <f>$D177*$E177*'Закупки сырья'!L$43</f>
        <v>0</v>
      </c>
      <c r="P177" s="175">
        <f>$D177*$E177*'Закупки сырья'!M$43</f>
        <v>0</v>
      </c>
      <c r="Q177" s="433">
        <f>$D177*$E177*'Закупки сырья'!N$43</f>
        <v>0</v>
      </c>
    </row>
    <row r="178" spans="1:19" ht="10.5">
      <c r="A178" s="244"/>
      <c r="B178" s="438" t="s">
        <v>64</v>
      </c>
      <c r="C178" s="138"/>
      <c r="D178" s="347" t="s">
        <v>342</v>
      </c>
      <c r="E178" s="347" t="s">
        <v>342</v>
      </c>
      <c r="F178" s="347" t="s">
        <v>342</v>
      </c>
      <c r="G178" s="347" t="s">
        <v>342</v>
      </c>
      <c r="H178" s="347" t="s">
        <v>342</v>
      </c>
      <c r="I178" s="347" t="s">
        <v>342</v>
      </c>
      <c r="J178" s="347" t="s">
        <v>342</v>
      </c>
      <c r="K178" s="347" t="s">
        <v>342</v>
      </c>
      <c r="L178" s="347" t="s">
        <v>342</v>
      </c>
      <c r="M178" s="347" t="s">
        <v>342</v>
      </c>
      <c r="N178" s="347" t="s">
        <v>342</v>
      </c>
      <c r="O178" s="347" t="s">
        <v>342</v>
      </c>
      <c r="P178" s="347" t="s">
        <v>342</v>
      </c>
      <c r="Q178" s="406" t="s">
        <v>342</v>
      </c>
      <c r="R178" s="45"/>
      <c r="S178" s="45"/>
    </row>
    <row r="179" spans="1:17" ht="10.5">
      <c r="A179" s="182" t="str">
        <f>D168</f>
        <v>Продукт 7</v>
      </c>
      <c r="B179" s="183"/>
      <c r="C179" s="184"/>
      <c r="D179" s="185"/>
      <c r="E179" s="185"/>
      <c r="F179" s="186">
        <f aca="true" t="shared" si="39" ref="F179:Q179">SUM(F169:F178)</f>
        <v>0</v>
      </c>
      <c r="G179" s="186">
        <f t="shared" si="39"/>
        <v>0</v>
      </c>
      <c r="H179" s="186">
        <f t="shared" si="39"/>
        <v>0</v>
      </c>
      <c r="I179" s="186">
        <f t="shared" si="39"/>
        <v>0</v>
      </c>
      <c r="J179" s="186">
        <f t="shared" si="39"/>
        <v>0</v>
      </c>
      <c r="K179" s="186">
        <f t="shared" si="39"/>
        <v>0</v>
      </c>
      <c r="L179" s="186">
        <f t="shared" si="39"/>
        <v>0</v>
      </c>
      <c r="M179" s="186">
        <f t="shared" si="39"/>
        <v>0</v>
      </c>
      <c r="N179" s="186">
        <f t="shared" si="39"/>
        <v>0</v>
      </c>
      <c r="O179" s="186">
        <f t="shared" si="39"/>
        <v>0</v>
      </c>
      <c r="P179" s="186">
        <f t="shared" si="39"/>
        <v>0</v>
      </c>
      <c r="Q179" s="437">
        <f t="shared" si="39"/>
        <v>0</v>
      </c>
    </row>
    <row r="180" ht="11.25" thickBot="1"/>
    <row r="181" spans="1:17" ht="21">
      <c r="A181" s="80" t="s">
        <v>0</v>
      </c>
      <c r="B181" s="55" t="s">
        <v>90</v>
      </c>
      <c r="C181" s="171" t="s">
        <v>257</v>
      </c>
      <c r="D181" s="172" t="str">
        <f>VLOOKUP(C181,Классификаторы!$A$71:$B$92,2,0)</f>
        <v>Продукт 8</v>
      </c>
      <c r="E181" s="173" t="s">
        <v>94</v>
      </c>
      <c r="F181" s="173">
        <v>39448</v>
      </c>
      <c r="G181" s="173">
        <v>39479</v>
      </c>
      <c r="H181" s="173">
        <v>39508</v>
      </c>
      <c r="I181" s="173">
        <v>39539</v>
      </c>
      <c r="J181" s="173">
        <v>39569</v>
      </c>
      <c r="K181" s="173">
        <v>39600</v>
      </c>
      <c r="L181" s="173">
        <v>39630</v>
      </c>
      <c r="M181" s="173">
        <v>39661</v>
      </c>
      <c r="N181" s="173">
        <v>39692</v>
      </c>
      <c r="O181" s="173">
        <v>39722</v>
      </c>
      <c r="P181" s="173">
        <v>39753</v>
      </c>
      <c r="Q181" s="173">
        <v>39783</v>
      </c>
    </row>
    <row r="182" spans="1:17" s="45" customFormat="1" ht="10.5">
      <c r="A182" s="242"/>
      <c r="B182" s="16" t="s">
        <v>402</v>
      </c>
      <c r="C182" s="131" t="s">
        <v>374</v>
      </c>
      <c r="D182" s="431">
        <f>SUMIF('Технологическая карта 2 (вспом)'!$C$128:$C$139,B182,'Технологическая карта 2 (вспом)'!$BH$128:$BH$136)</f>
        <v>0</v>
      </c>
      <c r="E182" s="431">
        <f>SUMIF('Закупки сырья'!$A$35:$A$43,B182,'Закупки сырья'!$B$35:$B$43)</f>
        <v>0</v>
      </c>
      <c r="F182" s="431">
        <f>$D182*$E182*'Закупки сырья'!C$35</f>
        <v>0</v>
      </c>
      <c r="G182" s="431">
        <f>$D182*$E182*'Закупки сырья'!D$35</f>
        <v>0</v>
      </c>
      <c r="H182" s="431">
        <f>$D182*$E182*'Закупки сырья'!E$35</f>
        <v>0</v>
      </c>
      <c r="I182" s="431">
        <f>$D182*$E182*'Закупки сырья'!F$35</f>
        <v>0</v>
      </c>
      <c r="J182" s="431">
        <f>$D182*$E182*'Закупки сырья'!G$35</f>
        <v>0</v>
      </c>
      <c r="K182" s="431">
        <f>$D182*$E182*'Закупки сырья'!H$35</f>
        <v>0</v>
      </c>
      <c r="L182" s="431">
        <f>$D182*$E182*'Закупки сырья'!I$35</f>
        <v>0</v>
      </c>
      <c r="M182" s="431">
        <f>$D182*$E182*'Закупки сырья'!J$35</f>
        <v>0</v>
      </c>
      <c r="N182" s="431">
        <f>$D182*$E182*'Закупки сырья'!K$35</f>
        <v>0</v>
      </c>
      <c r="O182" s="431">
        <f>$D182*$E182*'Закупки сырья'!L$35</f>
        <v>0</v>
      </c>
      <c r="P182" s="431">
        <f>$D182*$E182*'Закупки сырья'!M$35</f>
        <v>0</v>
      </c>
      <c r="Q182" s="432">
        <f>$D182*$E182*'Закупки сырья'!N$35</f>
        <v>0</v>
      </c>
    </row>
    <row r="183" spans="1:17" ht="10.5">
      <c r="A183" s="174"/>
      <c r="B183" s="16" t="s">
        <v>403</v>
      </c>
      <c r="C183" s="131" t="s">
        <v>374</v>
      </c>
      <c r="D183" s="175">
        <f>SUMIF('Технологическая карта 2 (вспом)'!$C$128:$C$139,B183,'Технологическая карта 2 (вспом)'!$BH$128:$BH$136)</f>
        <v>0</v>
      </c>
      <c r="E183" s="175">
        <f>SUMIF('Закупки сырья'!$A$35:$A$43,B183,'Закупки сырья'!$B$35:$B$43)</f>
        <v>0</v>
      </c>
      <c r="F183" s="175">
        <f>$D183*$E183*'Закупки сырья'!C$36</f>
        <v>0</v>
      </c>
      <c r="G183" s="175">
        <f>$D183*$E183*'Закупки сырья'!D$36</f>
        <v>0</v>
      </c>
      <c r="H183" s="175">
        <f>$D183*$E183*'Закупки сырья'!E$36</f>
        <v>0</v>
      </c>
      <c r="I183" s="175">
        <f>$D183*$E183*'Закупки сырья'!F$36</f>
        <v>0</v>
      </c>
      <c r="J183" s="175">
        <f>$D183*$E183*'Закупки сырья'!G$36</f>
        <v>0</v>
      </c>
      <c r="K183" s="175">
        <f>$D183*$E183*'Закупки сырья'!H$36</f>
        <v>0</v>
      </c>
      <c r="L183" s="175">
        <f>$D183*$E183*'Закупки сырья'!I$36</f>
        <v>0</v>
      </c>
      <c r="M183" s="175">
        <f>$D183*$E183*'Закупки сырья'!J$36</f>
        <v>0</v>
      </c>
      <c r="N183" s="175">
        <f>$D183*$E183*'Закупки сырья'!K$36</f>
        <v>0</v>
      </c>
      <c r="O183" s="175">
        <f>$D183*$E183*'Закупки сырья'!L$36</f>
        <v>0</v>
      </c>
      <c r="P183" s="175">
        <f>$D183*$E183*'Закупки сырья'!M$36</f>
        <v>0</v>
      </c>
      <c r="Q183" s="433">
        <f>$D183*$E183*'Закупки сырья'!N$36</f>
        <v>0</v>
      </c>
    </row>
    <row r="184" spans="1:17" ht="10.5">
      <c r="A184" s="174"/>
      <c r="B184" s="16" t="s">
        <v>404</v>
      </c>
      <c r="C184" s="131" t="s">
        <v>374</v>
      </c>
      <c r="D184" s="175">
        <f>SUMIF('Технологическая карта 2 (вспом)'!$C$128:$C$139,B184,'Технологическая карта 2 (вспом)'!$BH$128:$BH$136)</f>
        <v>0</v>
      </c>
      <c r="E184" s="175">
        <f>SUMIF('Закупки сырья'!$A$35:$A$43,B184,'Закупки сырья'!$B$35:$B$43)</f>
        <v>0</v>
      </c>
      <c r="F184" s="175">
        <f>$D184*$E184*'Закупки сырья'!C$37</f>
        <v>0</v>
      </c>
      <c r="G184" s="175">
        <f>$D184*$E184*'Закупки сырья'!D$37</f>
        <v>0</v>
      </c>
      <c r="H184" s="175">
        <f>$D184*$E184*'Закупки сырья'!E$37</f>
        <v>0</v>
      </c>
      <c r="I184" s="175">
        <f>$D184*$E184*'Закупки сырья'!F$37</f>
        <v>0</v>
      </c>
      <c r="J184" s="175">
        <f>$D184*$E184*'Закупки сырья'!G$37</f>
        <v>0</v>
      </c>
      <c r="K184" s="175">
        <f>$D184*$E184*'Закупки сырья'!H$37</f>
        <v>0</v>
      </c>
      <c r="L184" s="175">
        <f>$D184*$E184*'Закупки сырья'!I$37</f>
        <v>0</v>
      </c>
      <c r="M184" s="175">
        <f>$D184*$E184*'Закупки сырья'!J$37</f>
        <v>0</v>
      </c>
      <c r="N184" s="175">
        <f>$D184*$E184*'Закупки сырья'!K$37</f>
        <v>0</v>
      </c>
      <c r="O184" s="175">
        <f>$D184*$E184*'Закупки сырья'!L$37</f>
        <v>0</v>
      </c>
      <c r="P184" s="175">
        <f>$D184*$E184*'Закупки сырья'!M$37</f>
        <v>0</v>
      </c>
      <c r="Q184" s="433">
        <f>$D184*$E184*'Закупки сырья'!N$37</f>
        <v>0</v>
      </c>
    </row>
    <row r="185" spans="1:17" ht="10.5">
      <c r="A185" s="174"/>
      <c r="B185" s="16" t="s">
        <v>405</v>
      </c>
      <c r="C185" s="131" t="s">
        <v>374</v>
      </c>
      <c r="D185" s="175">
        <f>SUMIF('Технологическая карта 2 (вспом)'!$C$128:$C$139,B185,'Технологическая карта 2 (вспом)'!$BH$128:$BH$136)</f>
        <v>0</v>
      </c>
      <c r="E185" s="175">
        <f>SUMIF('Закупки сырья'!$A$35:$A$43,B185,'Закупки сырья'!$B$35:$B$43)</f>
        <v>0</v>
      </c>
      <c r="F185" s="175">
        <f>$D185*$E185*'Закупки сырья'!C$38</f>
        <v>0</v>
      </c>
      <c r="G185" s="175">
        <f>$D185*$E185*'Закупки сырья'!D$38</f>
        <v>0</v>
      </c>
      <c r="H185" s="175">
        <f>$D185*$E185*'Закупки сырья'!E$38</f>
        <v>0</v>
      </c>
      <c r="I185" s="175">
        <f>$D185*$E185*'Закупки сырья'!F$38</f>
        <v>0</v>
      </c>
      <c r="J185" s="175">
        <f>$D185*$E185*'Закупки сырья'!G$38</f>
        <v>0</v>
      </c>
      <c r="K185" s="175">
        <f>$D185*$E185*'Закупки сырья'!H$38</f>
        <v>0</v>
      </c>
      <c r="L185" s="175">
        <f>$D185*$E185*'Закупки сырья'!I$38</f>
        <v>0</v>
      </c>
      <c r="M185" s="175">
        <f>$D185*$E185*'Закупки сырья'!J$38</f>
        <v>0</v>
      </c>
      <c r="N185" s="175">
        <f>$D185*$E185*'Закупки сырья'!K$38</f>
        <v>0</v>
      </c>
      <c r="O185" s="175">
        <f>$D185*$E185*'Закупки сырья'!L$38</f>
        <v>0</v>
      </c>
      <c r="P185" s="175">
        <f>$D185*$E185*'Закупки сырья'!M$38</f>
        <v>0</v>
      </c>
      <c r="Q185" s="433">
        <f>$D185*$E185*'Закупки сырья'!N$38</f>
        <v>0</v>
      </c>
    </row>
    <row r="186" spans="1:17" ht="10.5">
      <c r="A186" s="174"/>
      <c r="B186" s="16" t="s">
        <v>406</v>
      </c>
      <c r="C186" s="131" t="s">
        <v>374</v>
      </c>
      <c r="D186" s="175">
        <f>SUMIF('Технологическая карта 2 (вспом)'!$C$128:$C$139,B186,'Технологическая карта 2 (вспом)'!$BH$128:$BH$136)</f>
        <v>0</v>
      </c>
      <c r="E186" s="175">
        <f>SUMIF('Закупки сырья'!$A$35:$A$43,B186,'Закупки сырья'!$B$35:$B$43)</f>
        <v>0</v>
      </c>
      <c r="F186" s="175">
        <f>$D186*$E186*'Закупки сырья'!C$39</f>
        <v>0</v>
      </c>
      <c r="G186" s="175">
        <f>$D186*$E186*'Закупки сырья'!D$39</f>
        <v>0</v>
      </c>
      <c r="H186" s="175">
        <f>$D186*$E186*'Закупки сырья'!E$39</f>
        <v>0</v>
      </c>
      <c r="I186" s="175">
        <f>$D186*$E186*'Закупки сырья'!F$39</f>
        <v>0</v>
      </c>
      <c r="J186" s="175">
        <f>$D186*$E186*'Закупки сырья'!G$39</f>
        <v>0</v>
      </c>
      <c r="K186" s="175">
        <f>$D186*$E186*'Закупки сырья'!H$39</f>
        <v>0</v>
      </c>
      <c r="L186" s="175">
        <f>$D186*$E186*'Закупки сырья'!I$39</f>
        <v>0</v>
      </c>
      <c r="M186" s="175">
        <f>$D186*$E186*'Закупки сырья'!J$39</f>
        <v>0</v>
      </c>
      <c r="N186" s="175">
        <f>$D186*$E186*'Закупки сырья'!K$39</f>
        <v>0</v>
      </c>
      <c r="O186" s="175">
        <f>$D186*$E186*'Закупки сырья'!L$39</f>
        <v>0</v>
      </c>
      <c r="P186" s="175">
        <f>$D186*$E186*'Закупки сырья'!M$39</f>
        <v>0</v>
      </c>
      <c r="Q186" s="433">
        <f>$D186*$E186*'Закупки сырья'!N$39</f>
        <v>0</v>
      </c>
    </row>
    <row r="187" spans="1:17" ht="10.5">
      <c r="A187" s="174"/>
      <c r="B187" s="16" t="s">
        <v>407</v>
      </c>
      <c r="C187" s="131" t="s">
        <v>374</v>
      </c>
      <c r="D187" s="175">
        <f>SUMIF('Технологическая карта 2 (вспом)'!$C$128:$C$139,B187,'Технологическая карта 2 (вспом)'!$BH$128:$BH$136)</f>
        <v>0</v>
      </c>
      <c r="E187" s="175">
        <f>SUMIF('Закупки сырья'!$A$35:$A$43,B187,'Закупки сырья'!$B$35:$B$43)</f>
        <v>0</v>
      </c>
      <c r="F187" s="175">
        <f>$D187*$E187*'Закупки сырья'!C$40</f>
        <v>0</v>
      </c>
      <c r="G187" s="175">
        <f>$D187*$E187*'Закупки сырья'!D$40</f>
        <v>0</v>
      </c>
      <c r="H187" s="175">
        <f>$D187*$E187*'Закупки сырья'!E$40</f>
        <v>0</v>
      </c>
      <c r="I187" s="175">
        <f>$D187*$E187*'Закупки сырья'!F$40</f>
        <v>0</v>
      </c>
      <c r="J187" s="175">
        <f>$D187*$E187*'Закупки сырья'!G$40</f>
        <v>0</v>
      </c>
      <c r="K187" s="175">
        <f>$D187*$E187*'Закупки сырья'!H$40</f>
        <v>0</v>
      </c>
      <c r="L187" s="175">
        <f>$D187*$E187*'Закупки сырья'!I$40</f>
        <v>0</v>
      </c>
      <c r="M187" s="175">
        <f>$D187*$E187*'Закупки сырья'!J$40</f>
        <v>0</v>
      </c>
      <c r="N187" s="175">
        <f>$D187*$E187*'Закупки сырья'!K$40</f>
        <v>0</v>
      </c>
      <c r="O187" s="175">
        <f>$D187*$E187*'Закупки сырья'!L$40</f>
        <v>0</v>
      </c>
      <c r="P187" s="175">
        <f>$D187*$E187*'Закупки сырья'!M$40</f>
        <v>0</v>
      </c>
      <c r="Q187" s="433">
        <f>$D187*$E187*'Закупки сырья'!N$40</f>
        <v>0</v>
      </c>
    </row>
    <row r="188" spans="1:17" ht="10.5">
      <c r="A188" s="174"/>
      <c r="B188" s="16" t="s">
        <v>408</v>
      </c>
      <c r="C188" s="131" t="s">
        <v>374</v>
      </c>
      <c r="D188" s="175">
        <f>SUMIF('Технологическая карта 2 (вспом)'!$C$128:$C$139,B188,'Технологическая карта 2 (вспом)'!$BH$128:$BH$136)</f>
        <v>0</v>
      </c>
      <c r="E188" s="175">
        <f>SUMIF('Закупки сырья'!$A$35:$A$43,B188,'Закупки сырья'!$B$35:$B$43)</f>
        <v>0</v>
      </c>
      <c r="F188" s="175">
        <f>$D188*$E188*'Закупки сырья'!C$41</f>
        <v>0</v>
      </c>
      <c r="G188" s="175">
        <f>$D188*$E188*'Закупки сырья'!D$41</f>
        <v>0</v>
      </c>
      <c r="H188" s="175">
        <f>$D188*$E188*'Закупки сырья'!E$41</f>
        <v>0</v>
      </c>
      <c r="I188" s="175">
        <f>$D188*$E188*'Закупки сырья'!F$41</f>
        <v>0</v>
      </c>
      <c r="J188" s="175">
        <f>$D188*$E188*'Закупки сырья'!G$41</f>
        <v>0</v>
      </c>
      <c r="K188" s="175">
        <f>$D188*$E188*'Закупки сырья'!H$41</f>
        <v>0</v>
      </c>
      <c r="L188" s="175">
        <f>$D188*$E188*'Закупки сырья'!I$41</f>
        <v>0</v>
      </c>
      <c r="M188" s="175">
        <f>$D188*$E188*'Закупки сырья'!J$41</f>
        <v>0</v>
      </c>
      <c r="N188" s="175">
        <f>$D188*$E188*'Закупки сырья'!K$41</f>
        <v>0</v>
      </c>
      <c r="O188" s="175">
        <f>$D188*$E188*'Закупки сырья'!L$41</f>
        <v>0</v>
      </c>
      <c r="P188" s="175">
        <f>$D188*$E188*'Закупки сырья'!M$41</f>
        <v>0</v>
      </c>
      <c r="Q188" s="433">
        <f>$D188*$E188*'Закупки сырья'!N$41</f>
        <v>0</v>
      </c>
    </row>
    <row r="189" spans="1:17" ht="10.5">
      <c r="A189" s="174"/>
      <c r="B189" s="16" t="s">
        <v>409</v>
      </c>
      <c r="C189" s="131" t="s">
        <v>374</v>
      </c>
      <c r="D189" s="175">
        <f>SUMIF('Технологическая карта 2 (вспом)'!$C$128:$C$139,B189,'Технологическая карта 2 (вспом)'!$BH$128:$BH$136)</f>
        <v>0</v>
      </c>
      <c r="E189" s="175">
        <f>SUMIF('Закупки сырья'!$A$35:$A$43,B189,'Закупки сырья'!$B$35:$B$43)</f>
        <v>0</v>
      </c>
      <c r="F189" s="175">
        <f>$D189*$E189*'Закупки сырья'!C$42</f>
        <v>0</v>
      </c>
      <c r="G189" s="175">
        <f>$D189*$E189*'Закупки сырья'!D$42</f>
        <v>0</v>
      </c>
      <c r="H189" s="175">
        <f>$D189*$E189*'Закупки сырья'!E$42</f>
        <v>0</v>
      </c>
      <c r="I189" s="175">
        <f>$D189*$E189*'Закупки сырья'!F$42</f>
        <v>0</v>
      </c>
      <c r="J189" s="175">
        <f>$D189*$E189*'Закупки сырья'!G$42</f>
        <v>0</v>
      </c>
      <c r="K189" s="175">
        <f>$D189*$E189*'Закупки сырья'!H$42</f>
        <v>0</v>
      </c>
      <c r="L189" s="175">
        <f>$D189*$E189*'Закупки сырья'!I$42</f>
        <v>0</v>
      </c>
      <c r="M189" s="175">
        <f>$D189*$E189*'Закупки сырья'!J$42</f>
        <v>0</v>
      </c>
      <c r="N189" s="175">
        <f>$D189*$E189*'Закупки сырья'!K$42</f>
        <v>0</v>
      </c>
      <c r="O189" s="175">
        <f>$D189*$E189*'Закупки сырья'!L$42</f>
        <v>0</v>
      </c>
      <c r="P189" s="175">
        <f>$D189*$E189*'Закупки сырья'!M$42</f>
        <v>0</v>
      </c>
      <c r="Q189" s="433">
        <f>$D189*$E189*'Закупки сырья'!N$42</f>
        <v>0</v>
      </c>
    </row>
    <row r="190" spans="1:17" ht="10.5">
      <c r="A190" s="174"/>
      <c r="B190" s="16" t="s">
        <v>410</v>
      </c>
      <c r="C190" s="131" t="s">
        <v>374</v>
      </c>
      <c r="D190" s="175">
        <f>SUMIF('Технологическая карта 2 (вспом)'!$C$128:$C$139,B190,'Технологическая карта 2 (вспом)'!$BH$128:$BH$136)</f>
        <v>0</v>
      </c>
      <c r="E190" s="175">
        <f>SUMIF('Закупки сырья'!$A$35:$A$43,B190,'Закупки сырья'!$B$35:$B$43)</f>
        <v>0</v>
      </c>
      <c r="F190" s="175">
        <f>$D190*$E190*'Закупки сырья'!C$43</f>
        <v>0</v>
      </c>
      <c r="G190" s="175">
        <f>$D190*$E190*'Закупки сырья'!D$43</f>
        <v>0</v>
      </c>
      <c r="H190" s="175">
        <f>$D190*$E190*'Закупки сырья'!E$43</f>
        <v>0</v>
      </c>
      <c r="I190" s="175">
        <f>$D190*$E190*'Закупки сырья'!F$43</f>
        <v>0</v>
      </c>
      <c r="J190" s="175">
        <f>$D190*$E190*'Закупки сырья'!G$43</f>
        <v>0</v>
      </c>
      <c r="K190" s="175">
        <f>$D190*$E190*'Закупки сырья'!H$43</f>
        <v>0</v>
      </c>
      <c r="L190" s="175">
        <f>$D190*$E190*'Закупки сырья'!I$43</f>
        <v>0</v>
      </c>
      <c r="M190" s="175">
        <f>$D190*$E190*'Закупки сырья'!J$43</f>
        <v>0</v>
      </c>
      <c r="N190" s="175">
        <f>$D190*$E190*'Закупки сырья'!K$43</f>
        <v>0</v>
      </c>
      <c r="O190" s="175">
        <f>$D190*$E190*'Закупки сырья'!L$43</f>
        <v>0</v>
      </c>
      <c r="P190" s="175">
        <f>$D190*$E190*'Закупки сырья'!M$43</f>
        <v>0</v>
      </c>
      <c r="Q190" s="433">
        <f>$D190*$E190*'Закупки сырья'!N$43</f>
        <v>0</v>
      </c>
    </row>
    <row r="191" spans="1:19" ht="10.5">
      <c r="A191" s="244"/>
      <c r="B191" s="438" t="s">
        <v>64</v>
      </c>
      <c r="C191" s="138"/>
      <c r="D191" s="347" t="s">
        <v>342</v>
      </c>
      <c r="E191" s="347" t="s">
        <v>342</v>
      </c>
      <c r="F191" s="347" t="s">
        <v>342</v>
      </c>
      <c r="G191" s="347" t="s">
        <v>342</v>
      </c>
      <c r="H191" s="347" t="s">
        <v>342</v>
      </c>
      <c r="I191" s="347" t="s">
        <v>342</v>
      </c>
      <c r="J191" s="347" t="s">
        <v>342</v>
      </c>
      <c r="K191" s="347" t="s">
        <v>342</v>
      </c>
      <c r="L191" s="347" t="s">
        <v>342</v>
      </c>
      <c r="M191" s="347" t="s">
        <v>342</v>
      </c>
      <c r="N191" s="347" t="s">
        <v>342</v>
      </c>
      <c r="O191" s="347" t="s">
        <v>342</v>
      </c>
      <c r="P191" s="347" t="s">
        <v>342</v>
      </c>
      <c r="Q191" s="406" t="s">
        <v>342</v>
      </c>
      <c r="R191" s="45"/>
      <c r="S191" s="45"/>
    </row>
    <row r="192" spans="1:17" ht="10.5">
      <c r="A192" s="182" t="str">
        <f>D181</f>
        <v>Продукт 8</v>
      </c>
      <c r="B192" s="183"/>
      <c r="C192" s="184"/>
      <c r="D192" s="185"/>
      <c r="E192" s="185"/>
      <c r="F192" s="186">
        <f aca="true" t="shared" si="40" ref="F192:Q192">SUM(F182:F191)</f>
        <v>0</v>
      </c>
      <c r="G192" s="186">
        <f t="shared" si="40"/>
        <v>0</v>
      </c>
      <c r="H192" s="186">
        <f t="shared" si="40"/>
        <v>0</v>
      </c>
      <c r="I192" s="186">
        <f t="shared" si="40"/>
        <v>0</v>
      </c>
      <c r="J192" s="186">
        <f t="shared" si="40"/>
        <v>0</v>
      </c>
      <c r="K192" s="186">
        <f t="shared" si="40"/>
        <v>0</v>
      </c>
      <c r="L192" s="186">
        <f t="shared" si="40"/>
        <v>0</v>
      </c>
      <c r="M192" s="186">
        <f t="shared" si="40"/>
        <v>0</v>
      </c>
      <c r="N192" s="186">
        <f t="shared" si="40"/>
        <v>0</v>
      </c>
      <c r="O192" s="186">
        <f t="shared" si="40"/>
        <v>0</v>
      </c>
      <c r="P192" s="186">
        <f t="shared" si="40"/>
        <v>0</v>
      </c>
      <c r="Q192" s="437">
        <f t="shared" si="40"/>
        <v>0</v>
      </c>
    </row>
    <row r="193" ht="11.25" thickBot="1"/>
    <row r="194" spans="1:17" ht="21">
      <c r="A194" s="80" t="s">
        <v>0</v>
      </c>
      <c r="B194" s="55" t="s">
        <v>90</v>
      </c>
      <c r="C194" s="171" t="s">
        <v>258</v>
      </c>
      <c r="D194" s="172" t="str">
        <f>VLOOKUP(C194,Классификаторы!$A$71:$B$92,2,0)</f>
        <v>Продукт 9</v>
      </c>
      <c r="E194" s="173" t="s">
        <v>94</v>
      </c>
      <c r="F194" s="173">
        <v>39448</v>
      </c>
      <c r="G194" s="173">
        <v>39479</v>
      </c>
      <c r="H194" s="173">
        <v>39508</v>
      </c>
      <c r="I194" s="173">
        <v>39539</v>
      </c>
      <c r="J194" s="173">
        <v>39569</v>
      </c>
      <c r="K194" s="173">
        <v>39600</v>
      </c>
      <c r="L194" s="173">
        <v>39630</v>
      </c>
      <c r="M194" s="173">
        <v>39661</v>
      </c>
      <c r="N194" s="173">
        <v>39692</v>
      </c>
      <c r="O194" s="173">
        <v>39722</v>
      </c>
      <c r="P194" s="173">
        <v>39753</v>
      </c>
      <c r="Q194" s="173">
        <v>39783</v>
      </c>
    </row>
    <row r="195" spans="1:17" s="45" customFormat="1" ht="10.5">
      <c r="A195" s="242"/>
      <c r="B195" s="16" t="s">
        <v>402</v>
      </c>
      <c r="C195" s="131" t="s">
        <v>374</v>
      </c>
      <c r="D195" s="431">
        <f>SUMIF('Технологическая карта 2 (вспом)'!$C$128:$C$139,B195,'Технологическая карта 2 (вспом)'!$BP$128:$BP$136)</f>
        <v>0</v>
      </c>
      <c r="E195" s="431">
        <f>SUMIF('Закупки сырья'!$A$35:$A$43,B195,'Закупки сырья'!$B$35:$B$43)</f>
        <v>0</v>
      </c>
      <c r="F195" s="431">
        <f>$D195*$E195*'Закупки сырья'!C$35</f>
        <v>0</v>
      </c>
      <c r="G195" s="431">
        <f>$D195*$E195*'Закупки сырья'!D$35</f>
        <v>0</v>
      </c>
      <c r="H195" s="431">
        <f>$D195*$E195*'Закупки сырья'!E$35</f>
        <v>0</v>
      </c>
      <c r="I195" s="431">
        <f>$D195*$E195*'Закупки сырья'!F$35</f>
        <v>0</v>
      </c>
      <c r="J195" s="431">
        <f>$D195*$E195*'Закупки сырья'!G$35</f>
        <v>0</v>
      </c>
      <c r="K195" s="431">
        <f>$D195*$E195*'Закупки сырья'!H$35</f>
        <v>0</v>
      </c>
      <c r="L195" s="431">
        <f>$D195*$E195*'Закупки сырья'!I$35</f>
        <v>0</v>
      </c>
      <c r="M195" s="431">
        <f>$D195*$E195*'Закупки сырья'!J$35</f>
        <v>0</v>
      </c>
      <c r="N195" s="431">
        <f>$D195*$E195*'Закупки сырья'!K$35</f>
        <v>0</v>
      </c>
      <c r="O195" s="431">
        <f>$D195*$E195*'Закупки сырья'!L$35</f>
        <v>0</v>
      </c>
      <c r="P195" s="431">
        <f>$D195*$E195*'Закупки сырья'!M$35</f>
        <v>0</v>
      </c>
      <c r="Q195" s="432">
        <f>$D195*$E195*'Закупки сырья'!N$35</f>
        <v>0</v>
      </c>
    </row>
    <row r="196" spans="1:17" ht="10.5">
      <c r="A196" s="174"/>
      <c r="B196" s="16" t="s">
        <v>403</v>
      </c>
      <c r="C196" s="131" t="s">
        <v>374</v>
      </c>
      <c r="D196" s="175">
        <f>SUMIF('Технологическая карта 2 (вспом)'!$C$128:$C$139,B196,'Технологическая карта 2 (вспом)'!$BP$128:$BP$136)</f>
        <v>0</v>
      </c>
      <c r="E196" s="175">
        <f>SUMIF('Закупки сырья'!$A$35:$A$43,B196,'Закупки сырья'!$B$35:$B$43)</f>
        <v>0</v>
      </c>
      <c r="F196" s="175">
        <f>$D196*$E196*'Закупки сырья'!C$36</f>
        <v>0</v>
      </c>
      <c r="G196" s="175">
        <f>$D196*$E196*'Закупки сырья'!D$36</f>
        <v>0</v>
      </c>
      <c r="H196" s="175">
        <f>$D196*$E196*'Закупки сырья'!E$36</f>
        <v>0</v>
      </c>
      <c r="I196" s="175">
        <f>$D196*$E196*'Закупки сырья'!F$36</f>
        <v>0</v>
      </c>
      <c r="J196" s="175">
        <f>$D196*$E196*'Закупки сырья'!G$36</f>
        <v>0</v>
      </c>
      <c r="K196" s="175">
        <f>$D196*$E196*'Закупки сырья'!H$36</f>
        <v>0</v>
      </c>
      <c r="L196" s="175">
        <f>$D196*$E196*'Закупки сырья'!I$36</f>
        <v>0</v>
      </c>
      <c r="M196" s="175">
        <f>$D196*$E196*'Закупки сырья'!J$36</f>
        <v>0</v>
      </c>
      <c r="N196" s="175">
        <f>$D196*$E196*'Закупки сырья'!K$36</f>
        <v>0</v>
      </c>
      <c r="O196" s="175">
        <f>$D196*$E196*'Закупки сырья'!L$36</f>
        <v>0</v>
      </c>
      <c r="P196" s="175">
        <f>$D196*$E196*'Закупки сырья'!M$36</f>
        <v>0</v>
      </c>
      <c r="Q196" s="433">
        <f>$D196*$E196*'Закупки сырья'!N$36</f>
        <v>0</v>
      </c>
    </row>
    <row r="197" spans="1:17" ht="10.5">
      <c r="A197" s="174"/>
      <c r="B197" s="16" t="s">
        <v>404</v>
      </c>
      <c r="C197" s="131" t="s">
        <v>374</v>
      </c>
      <c r="D197" s="175">
        <f>SUMIF('Технологическая карта 2 (вспом)'!$C$128:$C$139,B197,'Технологическая карта 2 (вспом)'!$BP$128:$BP$136)</f>
        <v>0</v>
      </c>
      <c r="E197" s="175">
        <f>SUMIF('Закупки сырья'!$A$35:$A$43,B197,'Закупки сырья'!$B$35:$B$43)</f>
        <v>0</v>
      </c>
      <c r="F197" s="175">
        <f>$D197*$E197*'Закупки сырья'!C$37</f>
        <v>0</v>
      </c>
      <c r="G197" s="175">
        <f>$D197*$E197*'Закупки сырья'!D$37</f>
        <v>0</v>
      </c>
      <c r="H197" s="175">
        <f>$D197*$E197*'Закупки сырья'!E$37</f>
        <v>0</v>
      </c>
      <c r="I197" s="175">
        <f>$D197*$E197*'Закупки сырья'!F$37</f>
        <v>0</v>
      </c>
      <c r="J197" s="175">
        <f>$D197*$E197*'Закупки сырья'!G$37</f>
        <v>0</v>
      </c>
      <c r="K197" s="175">
        <f>$D197*$E197*'Закупки сырья'!H$37</f>
        <v>0</v>
      </c>
      <c r="L197" s="175">
        <f>$D197*$E197*'Закупки сырья'!I$37</f>
        <v>0</v>
      </c>
      <c r="M197" s="175">
        <f>$D197*$E197*'Закупки сырья'!J$37</f>
        <v>0</v>
      </c>
      <c r="N197" s="175">
        <f>$D197*$E197*'Закупки сырья'!K$37</f>
        <v>0</v>
      </c>
      <c r="O197" s="175">
        <f>$D197*$E197*'Закупки сырья'!L$37</f>
        <v>0</v>
      </c>
      <c r="P197" s="175">
        <f>$D197*$E197*'Закупки сырья'!M$37</f>
        <v>0</v>
      </c>
      <c r="Q197" s="433">
        <f>$D197*$E197*'Закупки сырья'!N$37</f>
        <v>0</v>
      </c>
    </row>
    <row r="198" spans="1:17" ht="10.5">
      <c r="A198" s="174"/>
      <c r="B198" s="16" t="s">
        <v>405</v>
      </c>
      <c r="C198" s="131" t="s">
        <v>374</v>
      </c>
      <c r="D198" s="175">
        <f>SUMIF('Технологическая карта 2 (вспом)'!$C$128:$C$139,B198,'Технологическая карта 2 (вспом)'!$BP$128:$BP$136)</f>
        <v>0</v>
      </c>
      <c r="E198" s="175">
        <f>SUMIF('Закупки сырья'!$A$35:$A$43,B198,'Закупки сырья'!$B$35:$B$43)</f>
        <v>0</v>
      </c>
      <c r="F198" s="175">
        <f>$D198*$E198*'Закупки сырья'!C$38</f>
        <v>0</v>
      </c>
      <c r="G198" s="175">
        <f>$D198*$E198*'Закупки сырья'!D$38</f>
        <v>0</v>
      </c>
      <c r="H198" s="175">
        <f>$D198*$E198*'Закупки сырья'!E$38</f>
        <v>0</v>
      </c>
      <c r="I198" s="175">
        <f>$D198*$E198*'Закупки сырья'!F$38</f>
        <v>0</v>
      </c>
      <c r="J198" s="175">
        <f>$D198*$E198*'Закупки сырья'!G$38</f>
        <v>0</v>
      </c>
      <c r="K198" s="175">
        <f>$D198*$E198*'Закупки сырья'!H$38</f>
        <v>0</v>
      </c>
      <c r="L198" s="175">
        <f>$D198*$E198*'Закупки сырья'!I$38</f>
        <v>0</v>
      </c>
      <c r="M198" s="175">
        <f>$D198*$E198*'Закупки сырья'!J$38</f>
        <v>0</v>
      </c>
      <c r="N198" s="175">
        <f>$D198*$E198*'Закупки сырья'!K$38</f>
        <v>0</v>
      </c>
      <c r="O198" s="175">
        <f>$D198*$E198*'Закупки сырья'!L$38</f>
        <v>0</v>
      </c>
      <c r="P198" s="175">
        <f>$D198*$E198*'Закупки сырья'!M$38</f>
        <v>0</v>
      </c>
      <c r="Q198" s="433">
        <f>$D198*$E198*'Закупки сырья'!N$38</f>
        <v>0</v>
      </c>
    </row>
    <row r="199" spans="1:17" ht="10.5">
      <c r="A199" s="174"/>
      <c r="B199" s="16" t="s">
        <v>406</v>
      </c>
      <c r="C199" s="131" t="s">
        <v>374</v>
      </c>
      <c r="D199" s="175">
        <f>SUMIF('Технологическая карта 2 (вспом)'!$C$128:$C$139,B199,'Технологическая карта 2 (вспом)'!$BP$128:$BP$136)</f>
        <v>0</v>
      </c>
      <c r="E199" s="175">
        <f>SUMIF('Закупки сырья'!$A$35:$A$43,B199,'Закупки сырья'!$B$35:$B$43)</f>
        <v>0</v>
      </c>
      <c r="F199" s="175">
        <f>$D199*$E199*'Закупки сырья'!C$39</f>
        <v>0</v>
      </c>
      <c r="G199" s="175">
        <f>$D199*$E199*'Закупки сырья'!D$39</f>
        <v>0</v>
      </c>
      <c r="H199" s="175">
        <f>$D199*$E199*'Закупки сырья'!E$39</f>
        <v>0</v>
      </c>
      <c r="I199" s="175">
        <f>$D199*$E199*'Закупки сырья'!F$39</f>
        <v>0</v>
      </c>
      <c r="J199" s="175">
        <f>$D199*$E199*'Закупки сырья'!G$39</f>
        <v>0</v>
      </c>
      <c r="K199" s="175">
        <f>$D199*$E199*'Закупки сырья'!H$39</f>
        <v>0</v>
      </c>
      <c r="L199" s="175">
        <f>$D199*$E199*'Закупки сырья'!I$39</f>
        <v>0</v>
      </c>
      <c r="M199" s="175">
        <f>$D199*$E199*'Закупки сырья'!J$39</f>
        <v>0</v>
      </c>
      <c r="N199" s="175">
        <f>$D199*$E199*'Закупки сырья'!K$39</f>
        <v>0</v>
      </c>
      <c r="O199" s="175">
        <f>$D199*$E199*'Закупки сырья'!L$39</f>
        <v>0</v>
      </c>
      <c r="P199" s="175">
        <f>$D199*$E199*'Закупки сырья'!M$39</f>
        <v>0</v>
      </c>
      <c r="Q199" s="433">
        <f>$D199*$E199*'Закупки сырья'!N$39</f>
        <v>0</v>
      </c>
    </row>
    <row r="200" spans="1:17" ht="10.5">
      <c r="A200" s="174"/>
      <c r="B200" s="16" t="s">
        <v>407</v>
      </c>
      <c r="C200" s="131" t="s">
        <v>374</v>
      </c>
      <c r="D200" s="175">
        <f>SUMIF('Технологическая карта 2 (вспом)'!$C$128:$C$139,B200,'Технологическая карта 2 (вспом)'!$BP$128:$BP$136)</f>
        <v>0</v>
      </c>
      <c r="E200" s="175">
        <f>SUMIF('Закупки сырья'!$A$35:$A$43,B200,'Закупки сырья'!$B$35:$B$43)</f>
        <v>0</v>
      </c>
      <c r="F200" s="175">
        <f>$D200*$E200*'Закупки сырья'!C$40</f>
        <v>0</v>
      </c>
      <c r="G200" s="175">
        <f>$D200*$E200*'Закупки сырья'!D$40</f>
        <v>0</v>
      </c>
      <c r="H200" s="175">
        <f>$D200*$E200*'Закупки сырья'!E$40</f>
        <v>0</v>
      </c>
      <c r="I200" s="175">
        <f>$D200*$E200*'Закупки сырья'!F$40</f>
        <v>0</v>
      </c>
      <c r="J200" s="175">
        <f>$D200*$E200*'Закупки сырья'!G$40</f>
        <v>0</v>
      </c>
      <c r="K200" s="175">
        <f>$D200*$E200*'Закупки сырья'!H$40</f>
        <v>0</v>
      </c>
      <c r="L200" s="175">
        <f>$D200*$E200*'Закупки сырья'!I$40</f>
        <v>0</v>
      </c>
      <c r="M200" s="175">
        <f>$D200*$E200*'Закупки сырья'!J$40</f>
        <v>0</v>
      </c>
      <c r="N200" s="175">
        <f>$D200*$E200*'Закупки сырья'!K$40</f>
        <v>0</v>
      </c>
      <c r="O200" s="175">
        <f>$D200*$E200*'Закупки сырья'!L$40</f>
        <v>0</v>
      </c>
      <c r="P200" s="175">
        <f>$D200*$E200*'Закупки сырья'!M$40</f>
        <v>0</v>
      </c>
      <c r="Q200" s="433">
        <f>$D200*$E200*'Закупки сырья'!N$40</f>
        <v>0</v>
      </c>
    </row>
    <row r="201" spans="1:17" ht="10.5">
      <c r="A201" s="174"/>
      <c r="B201" s="16" t="s">
        <v>408</v>
      </c>
      <c r="C201" s="131" t="s">
        <v>374</v>
      </c>
      <c r="D201" s="175">
        <f>SUMIF('Технологическая карта 2 (вспом)'!$C$128:$C$139,B201,'Технологическая карта 2 (вспом)'!$BP$128:$BP$136)</f>
        <v>0</v>
      </c>
      <c r="E201" s="175">
        <f>SUMIF('Закупки сырья'!$A$35:$A$43,B201,'Закупки сырья'!$B$35:$B$43)</f>
        <v>0</v>
      </c>
      <c r="F201" s="175">
        <f>$D201*$E201*'Закупки сырья'!C$41</f>
        <v>0</v>
      </c>
      <c r="G201" s="175">
        <f>$D201*$E201*'Закупки сырья'!D$41</f>
        <v>0</v>
      </c>
      <c r="H201" s="175">
        <f>$D201*$E201*'Закупки сырья'!E$41</f>
        <v>0</v>
      </c>
      <c r="I201" s="175">
        <f>$D201*$E201*'Закупки сырья'!F$41</f>
        <v>0</v>
      </c>
      <c r="J201" s="175">
        <f>$D201*$E201*'Закупки сырья'!G$41</f>
        <v>0</v>
      </c>
      <c r="K201" s="175">
        <f>$D201*$E201*'Закупки сырья'!H$41</f>
        <v>0</v>
      </c>
      <c r="L201" s="175">
        <f>$D201*$E201*'Закупки сырья'!I$41</f>
        <v>0</v>
      </c>
      <c r="M201" s="175">
        <f>$D201*$E201*'Закупки сырья'!J$41</f>
        <v>0</v>
      </c>
      <c r="N201" s="175">
        <f>$D201*$E201*'Закупки сырья'!K$41</f>
        <v>0</v>
      </c>
      <c r="O201" s="175">
        <f>$D201*$E201*'Закупки сырья'!L$41</f>
        <v>0</v>
      </c>
      <c r="P201" s="175">
        <f>$D201*$E201*'Закупки сырья'!M$41</f>
        <v>0</v>
      </c>
      <c r="Q201" s="433">
        <f>$D201*$E201*'Закупки сырья'!N$41</f>
        <v>0</v>
      </c>
    </row>
    <row r="202" spans="1:17" ht="10.5">
      <c r="A202" s="174"/>
      <c r="B202" s="16" t="s">
        <v>409</v>
      </c>
      <c r="C202" s="131" t="s">
        <v>374</v>
      </c>
      <c r="D202" s="175">
        <f>SUMIF('Технологическая карта 2 (вспом)'!$C$128:$C$139,B202,'Технологическая карта 2 (вспом)'!$BP$128:$BP$136)</f>
        <v>0</v>
      </c>
      <c r="E202" s="175">
        <f>SUMIF('Закупки сырья'!$A$35:$A$43,B202,'Закупки сырья'!$B$35:$B$43)</f>
        <v>0</v>
      </c>
      <c r="F202" s="175">
        <f>$D202*$E202*'Закупки сырья'!C$42</f>
        <v>0</v>
      </c>
      <c r="G202" s="175">
        <f>$D202*$E202*'Закупки сырья'!D$42</f>
        <v>0</v>
      </c>
      <c r="H202" s="175">
        <f>$D202*$E202*'Закупки сырья'!E$42</f>
        <v>0</v>
      </c>
      <c r="I202" s="175">
        <f>$D202*$E202*'Закупки сырья'!F$42</f>
        <v>0</v>
      </c>
      <c r="J202" s="175">
        <f>$D202*$E202*'Закупки сырья'!G$42</f>
        <v>0</v>
      </c>
      <c r="K202" s="175">
        <f>$D202*$E202*'Закупки сырья'!H$42</f>
        <v>0</v>
      </c>
      <c r="L202" s="175">
        <f>$D202*$E202*'Закупки сырья'!I$42</f>
        <v>0</v>
      </c>
      <c r="M202" s="175">
        <f>$D202*$E202*'Закупки сырья'!J$42</f>
        <v>0</v>
      </c>
      <c r="N202" s="175">
        <f>$D202*$E202*'Закупки сырья'!K$42</f>
        <v>0</v>
      </c>
      <c r="O202" s="175">
        <f>$D202*$E202*'Закупки сырья'!L$42</f>
        <v>0</v>
      </c>
      <c r="P202" s="175">
        <f>$D202*$E202*'Закупки сырья'!M$42</f>
        <v>0</v>
      </c>
      <c r="Q202" s="433">
        <f>$D202*$E202*'Закупки сырья'!N$42</f>
        <v>0</v>
      </c>
    </row>
    <row r="203" spans="1:17" ht="10.5">
      <c r="A203" s="174"/>
      <c r="B203" s="16" t="s">
        <v>410</v>
      </c>
      <c r="C203" s="131" t="s">
        <v>374</v>
      </c>
      <c r="D203" s="175">
        <f>SUMIF('Технологическая карта 2 (вспом)'!$C$128:$C$139,B203,'Технологическая карта 2 (вспом)'!$BP$128:$BP$136)</f>
        <v>0</v>
      </c>
      <c r="E203" s="175">
        <f>SUMIF('Закупки сырья'!$A$35:$A$43,B203,'Закупки сырья'!$B$35:$B$43)</f>
        <v>0</v>
      </c>
      <c r="F203" s="175">
        <f>$D203*$E203*'Закупки сырья'!C$43</f>
        <v>0</v>
      </c>
      <c r="G203" s="175">
        <f>$D203*$E203*'Закупки сырья'!D$43</f>
        <v>0</v>
      </c>
      <c r="H203" s="175">
        <f>$D203*$E203*'Закупки сырья'!E$43</f>
        <v>0</v>
      </c>
      <c r="I203" s="175">
        <f>$D203*$E203*'Закупки сырья'!F$43</f>
        <v>0</v>
      </c>
      <c r="J203" s="175">
        <f>$D203*$E203*'Закупки сырья'!G$43</f>
        <v>0</v>
      </c>
      <c r="K203" s="175">
        <f>$D203*$E203*'Закупки сырья'!H$43</f>
        <v>0</v>
      </c>
      <c r="L203" s="175">
        <f>$D203*$E203*'Закупки сырья'!I$43</f>
        <v>0</v>
      </c>
      <c r="M203" s="175">
        <f>$D203*$E203*'Закупки сырья'!J$43</f>
        <v>0</v>
      </c>
      <c r="N203" s="175">
        <f>$D203*$E203*'Закупки сырья'!K$43</f>
        <v>0</v>
      </c>
      <c r="O203" s="175">
        <f>$D203*$E203*'Закупки сырья'!L$43</f>
        <v>0</v>
      </c>
      <c r="P203" s="175">
        <f>$D203*$E203*'Закупки сырья'!M$43</f>
        <v>0</v>
      </c>
      <c r="Q203" s="433">
        <f>$D203*$E203*'Закупки сырья'!N$43</f>
        <v>0</v>
      </c>
    </row>
    <row r="204" spans="1:19" ht="10.5">
      <c r="A204" s="244"/>
      <c r="B204" s="438" t="s">
        <v>64</v>
      </c>
      <c r="C204" s="138"/>
      <c r="D204" s="347" t="s">
        <v>342</v>
      </c>
      <c r="E204" s="347" t="s">
        <v>342</v>
      </c>
      <c r="F204" s="347" t="s">
        <v>342</v>
      </c>
      <c r="G204" s="347" t="s">
        <v>342</v>
      </c>
      <c r="H204" s="347" t="s">
        <v>342</v>
      </c>
      <c r="I204" s="347" t="s">
        <v>342</v>
      </c>
      <c r="J204" s="347" t="s">
        <v>342</v>
      </c>
      <c r="K204" s="347" t="s">
        <v>342</v>
      </c>
      <c r="L204" s="347" t="s">
        <v>342</v>
      </c>
      <c r="M204" s="347" t="s">
        <v>342</v>
      </c>
      <c r="N204" s="347" t="s">
        <v>342</v>
      </c>
      <c r="O204" s="347" t="s">
        <v>342</v>
      </c>
      <c r="P204" s="347" t="s">
        <v>342</v>
      </c>
      <c r="Q204" s="406" t="s">
        <v>342</v>
      </c>
      <c r="R204" s="45"/>
      <c r="S204" s="45"/>
    </row>
    <row r="205" spans="1:17" ht="10.5">
      <c r="A205" s="182" t="str">
        <f>D194</f>
        <v>Продукт 9</v>
      </c>
      <c r="B205" s="183"/>
      <c r="C205" s="184"/>
      <c r="D205" s="185"/>
      <c r="E205" s="185"/>
      <c r="F205" s="186">
        <f aca="true" t="shared" si="41" ref="F205:Q205">SUM(F195:F204)</f>
        <v>0</v>
      </c>
      <c r="G205" s="186">
        <f t="shared" si="41"/>
        <v>0</v>
      </c>
      <c r="H205" s="186">
        <f t="shared" si="41"/>
        <v>0</v>
      </c>
      <c r="I205" s="186">
        <f t="shared" si="41"/>
        <v>0</v>
      </c>
      <c r="J205" s="186">
        <f t="shared" si="41"/>
        <v>0</v>
      </c>
      <c r="K205" s="186">
        <f t="shared" si="41"/>
        <v>0</v>
      </c>
      <c r="L205" s="186">
        <f t="shared" si="41"/>
        <v>0</v>
      </c>
      <c r="M205" s="186">
        <f t="shared" si="41"/>
        <v>0</v>
      </c>
      <c r="N205" s="186">
        <f t="shared" si="41"/>
        <v>0</v>
      </c>
      <c r="O205" s="186">
        <f t="shared" si="41"/>
        <v>0</v>
      </c>
      <c r="P205" s="186">
        <f t="shared" si="41"/>
        <v>0</v>
      </c>
      <c r="Q205" s="437">
        <f t="shared" si="41"/>
        <v>0</v>
      </c>
    </row>
    <row r="206" ht="11.25" thickBot="1"/>
    <row r="207" spans="1:17" ht="21">
      <c r="A207" s="80" t="s">
        <v>0</v>
      </c>
      <c r="B207" s="55" t="s">
        <v>90</v>
      </c>
      <c r="C207" s="171" t="s">
        <v>259</v>
      </c>
      <c r="D207" s="172" t="str">
        <f>VLOOKUP(C207,Классификаторы!$A$71:$B$92,2,0)</f>
        <v>Продукт 10</v>
      </c>
      <c r="E207" s="173" t="s">
        <v>94</v>
      </c>
      <c r="F207" s="173">
        <v>39448</v>
      </c>
      <c r="G207" s="173">
        <v>39479</v>
      </c>
      <c r="H207" s="173">
        <v>39508</v>
      </c>
      <c r="I207" s="173">
        <v>39539</v>
      </c>
      <c r="J207" s="173">
        <v>39569</v>
      </c>
      <c r="K207" s="173">
        <v>39600</v>
      </c>
      <c r="L207" s="173">
        <v>39630</v>
      </c>
      <c r="M207" s="173">
        <v>39661</v>
      </c>
      <c r="N207" s="173">
        <v>39692</v>
      </c>
      <c r="O207" s="173">
        <v>39722</v>
      </c>
      <c r="P207" s="173">
        <v>39753</v>
      </c>
      <c r="Q207" s="173">
        <v>39783</v>
      </c>
    </row>
    <row r="208" spans="1:17" ht="10.5">
      <c r="A208" s="242"/>
      <c r="B208" s="16" t="s">
        <v>402</v>
      </c>
      <c r="C208" s="131" t="s">
        <v>374</v>
      </c>
      <c r="D208" s="431">
        <f>SUMIF('Технологическая карта 2 (вспом)'!$C$128:$C$139,B208,'Технологическая карта 2 (вспом)'!$BX$128:$BX$136)</f>
        <v>0</v>
      </c>
      <c r="E208" s="431">
        <f>SUMIF('Закупки сырья'!$A$35:$A$43,B208,'Закупки сырья'!$B$35:$B$43)</f>
        <v>0</v>
      </c>
      <c r="F208" s="431">
        <f>$D208*$E208*'Закупки сырья'!C$35</f>
        <v>0</v>
      </c>
      <c r="G208" s="431">
        <f>$D208*$E208*'Закупки сырья'!D$35</f>
        <v>0</v>
      </c>
      <c r="H208" s="431">
        <f>$D208*$E208*'Закупки сырья'!E$35</f>
        <v>0</v>
      </c>
      <c r="I208" s="431">
        <f>$D208*$E208*'Закупки сырья'!F$35</f>
        <v>0</v>
      </c>
      <c r="J208" s="431">
        <f>$D208*$E208*'Закупки сырья'!G$35</f>
        <v>0</v>
      </c>
      <c r="K208" s="431">
        <f>$D208*$E208*'Закупки сырья'!H$35</f>
        <v>0</v>
      </c>
      <c r="L208" s="431">
        <f>$D208*$E208*'Закупки сырья'!I$35</f>
        <v>0</v>
      </c>
      <c r="M208" s="431">
        <f>$D208*$E208*'Закупки сырья'!J$35</f>
        <v>0</v>
      </c>
      <c r="N208" s="431">
        <f>$D208*$E208*'Закупки сырья'!K$35</f>
        <v>0</v>
      </c>
      <c r="O208" s="431">
        <f>$D208*$E208*'Закупки сырья'!L$35</f>
        <v>0</v>
      </c>
      <c r="P208" s="431">
        <f>$D208*$E208*'Закупки сырья'!M$35</f>
        <v>0</v>
      </c>
      <c r="Q208" s="432">
        <f>$D208*$E208*'Закупки сырья'!N$35</f>
        <v>0</v>
      </c>
    </row>
    <row r="209" spans="1:17" ht="10.5">
      <c r="A209" s="174"/>
      <c r="B209" s="16" t="s">
        <v>403</v>
      </c>
      <c r="C209" s="131" t="s">
        <v>374</v>
      </c>
      <c r="D209" s="175">
        <f>SUMIF('Технологическая карта 2 (вспом)'!$C$128:$C$139,B209,'Технологическая карта 2 (вспом)'!$BX$128:$BX$136)</f>
        <v>0</v>
      </c>
      <c r="E209" s="175">
        <f>SUMIF('Закупки сырья'!$A$35:$A$43,B209,'Закупки сырья'!$B$35:$B$43)</f>
        <v>0</v>
      </c>
      <c r="F209" s="175">
        <f>$D209*$E209*'Закупки сырья'!C$36</f>
        <v>0</v>
      </c>
      <c r="G209" s="175">
        <f>$D209*$E209*'Закупки сырья'!D$36</f>
        <v>0</v>
      </c>
      <c r="H209" s="175">
        <f>$D209*$E209*'Закупки сырья'!E$36</f>
        <v>0</v>
      </c>
      <c r="I209" s="175">
        <f>$D209*$E209*'Закупки сырья'!F$36</f>
        <v>0</v>
      </c>
      <c r="J209" s="175">
        <f>$D209*$E209*'Закупки сырья'!G$36</f>
        <v>0</v>
      </c>
      <c r="K209" s="175">
        <f>$D209*$E209*'Закупки сырья'!H$36</f>
        <v>0</v>
      </c>
      <c r="L209" s="175">
        <f>$D209*$E209*'Закупки сырья'!I$36</f>
        <v>0</v>
      </c>
      <c r="M209" s="175">
        <f>$D209*$E209*'Закупки сырья'!J$36</f>
        <v>0</v>
      </c>
      <c r="N209" s="175">
        <f>$D209*$E209*'Закупки сырья'!K$36</f>
        <v>0</v>
      </c>
      <c r="O209" s="175">
        <f>$D209*$E209*'Закупки сырья'!L$36</f>
        <v>0</v>
      </c>
      <c r="P209" s="175">
        <f>$D209*$E209*'Закупки сырья'!M$36</f>
        <v>0</v>
      </c>
      <c r="Q209" s="433">
        <f>$D209*$E209*'Закупки сырья'!N$36</f>
        <v>0</v>
      </c>
    </row>
    <row r="210" spans="1:17" ht="10.5">
      <c r="A210" s="174"/>
      <c r="B210" s="16" t="s">
        <v>404</v>
      </c>
      <c r="C210" s="131" t="s">
        <v>374</v>
      </c>
      <c r="D210" s="175">
        <f>SUMIF('Технологическая карта 2 (вспом)'!$C$128:$C$139,B210,'Технологическая карта 2 (вспом)'!$BX$128:$BX$136)</f>
        <v>0</v>
      </c>
      <c r="E210" s="175">
        <f>SUMIF('Закупки сырья'!$A$35:$A$43,B210,'Закупки сырья'!$B$35:$B$43)</f>
        <v>0</v>
      </c>
      <c r="F210" s="175">
        <f>$D210*$E210*'Закупки сырья'!C$37</f>
        <v>0</v>
      </c>
      <c r="G210" s="175">
        <f>$D210*$E210*'Закупки сырья'!D$37</f>
        <v>0</v>
      </c>
      <c r="H210" s="175">
        <f>$D210*$E210*'Закупки сырья'!E$37</f>
        <v>0</v>
      </c>
      <c r="I210" s="175">
        <f>$D210*$E210*'Закупки сырья'!F$37</f>
        <v>0</v>
      </c>
      <c r="J210" s="175">
        <f>$D210*$E210*'Закупки сырья'!G$37</f>
        <v>0</v>
      </c>
      <c r="K210" s="175">
        <f>$D210*$E210*'Закупки сырья'!H$37</f>
        <v>0</v>
      </c>
      <c r="L210" s="175">
        <f>$D210*$E210*'Закупки сырья'!I$37</f>
        <v>0</v>
      </c>
      <c r="M210" s="175">
        <f>$D210*$E210*'Закупки сырья'!J$37</f>
        <v>0</v>
      </c>
      <c r="N210" s="175">
        <f>$D210*$E210*'Закупки сырья'!K$37</f>
        <v>0</v>
      </c>
      <c r="O210" s="175">
        <f>$D210*$E210*'Закупки сырья'!L$37</f>
        <v>0</v>
      </c>
      <c r="P210" s="175">
        <f>$D210*$E210*'Закупки сырья'!M$37</f>
        <v>0</v>
      </c>
      <c r="Q210" s="433">
        <f>$D210*$E210*'Закупки сырья'!N$37</f>
        <v>0</v>
      </c>
    </row>
    <row r="211" spans="1:17" ht="10.5">
      <c r="A211" s="174"/>
      <c r="B211" s="16" t="s">
        <v>405</v>
      </c>
      <c r="C211" s="131" t="s">
        <v>374</v>
      </c>
      <c r="D211" s="175">
        <f>SUMIF('Технологическая карта 2 (вспом)'!$C$128:$C$139,B211,'Технологическая карта 2 (вспом)'!$BX$128:$BX$136)</f>
        <v>0</v>
      </c>
      <c r="E211" s="175">
        <f>SUMIF('Закупки сырья'!$A$35:$A$43,B211,'Закупки сырья'!$B$35:$B$43)</f>
        <v>0</v>
      </c>
      <c r="F211" s="175">
        <f>$D211*$E211*'Закупки сырья'!C$38</f>
        <v>0</v>
      </c>
      <c r="G211" s="175">
        <f>$D211*$E211*'Закупки сырья'!D$38</f>
        <v>0</v>
      </c>
      <c r="H211" s="175">
        <f>$D211*$E211*'Закупки сырья'!E$38</f>
        <v>0</v>
      </c>
      <c r="I211" s="175">
        <f>$D211*$E211*'Закупки сырья'!F$38</f>
        <v>0</v>
      </c>
      <c r="J211" s="175">
        <f>$D211*$E211*'Закупки сырья'!G$38</f>
        <v>0</v>
      </c>
      <c r="K211" s="175">
        <f>$D211*$E211*'Закупки сырья'!H$38</f>
        <v>0</v>
      </c>
      <c r="L211" s="175">
        <f>$D211*$E211*'Закупки сырья'!I$38</f>
        <v>0</v>
      </c>
      <c r="M211" s="175">
        <f>$D211*$E211*'Закупки сырья'!J$38</f>
        <v>0</v>
      </c>
      <c r="N211" s="175">
        <f>$D211*$E211*'Закупки сырья'!K$38</f>
        <v>0</v>
      </c>
      <c r="O211" s="175">
        <f>$D211*$E211*'Закупки сырья'!L$38</f>
        <v>0</v>
      </c>
      <c r="P211" s="175">
        <f>$D211*$E211*'Закупки сырья'!M$38</f>
        <v>0</v>
      </c>
      <c r="Q211" s="433">
        <f>$D211*$E211*'Закупки сырья'!N$38</f>
        <v>0</v>
      </c>
    </row>
    <row r="212" spans="1:17" ht="10.5">
      <c r="A212" s="174"/>
      <c r="B212" s="16" t="s">
        <v>406</v>
      </c>
      <c r="C212" s="131" t="s">
        <v>374</v>
      </c>
      <c r="D212" s="175">
        <f>SUMIF('Технологическая карта 2 (вспом)'!$C$128:$C$139,B212,'Технологическая карта 2 (вспом)'!$BX$128:$BX$136)</f>
        <v>0</v>
      </c>
      <c r="E212" s="175">
        <f>SUMIF('Закупки сырья'!$A$35:$A$43,B212,'Закупки сырья'!$B$35:$B$43)</f>
        <v>0</v>
      </c>
      <c r="F212" s="175">
        <f>$D212*$E212*'Закупки сырья'!C$39</f>
        <v>0</v>
      </c>
      <c r="G212" s="175">
        <f>$D212*$E212*'Закупки сырья'!D$39</f>
        <v>0</v>
      </c>
      <c r="H212" s="175">
        <f>$D212*$E212*'Закупки сырья'!E$39</f>
        <v>0</v>
      </c>
      <c r="I212" s="175">
        <f>$D212*$E212*'Закупки сырья'!F$39</f>
        <v>0</v>
      </c>
      <c r="J212" s="175">
        <f>$D212*$E212*'Закупки сырья'!G$39</f>
        <v>0</v>
      </c>
      <c r="K212" s="175">
        <f>$D212*$E212*'Закупки сырья'!H$39</f>
        <v>0</v>
      </c>
      <c r="L212" s="175">
        <f>$D212*$E212*'Закупки сырья'!I$39</f>
        <v>0</v>
      </c>
      <c r="M212" s="175">
        <f>$D212*$E212*'Закупки сырья'!J$39</f>
        <v>0</v>
      </c>
      <c r="N212" s="175">
        <f>$D212*$E212*'Закупки сырья'!K$39</f>
        <v>0</v>
      </c>
      <c r="O212" s="175">
        <f>$D212*$E212*'Закупки сырья'!L$39</f>
        <v>0</v>
      </c>
      <c r="P212" s="175">
        <f>$D212*$E212*'Закупки сырья'!M$39</f>
        <v>0</v>
      </c>
      <c r="Q212" s="433">
        <f>$D212*$E212*'Закупки сырья'!N$39</f>
        <v>0</v>
      </c>
    </row>
    <row r="213" spans="1:17" ht="10.5">
      <c r="A213" s="174"/>
      <c r="B213" s="16" t="s">
        <v>407</v>
      </c>
      <c r="C213" s="131" t="s">
        <v>374</v>
      </c>
      <c r="D213" s="175">
        <f>SUMIF('Технологическая карта 2 (вспом)'!$C$128:$C$139,B213,'Технологическая карта 2 (вспом)'!$BX$128:$BX$136)</f>
        <v>0</v>
      </c>
      <c r="E213" s="175">
        <f>SUMIF('Закупки сырья'!$A$35:$A$43,B213,'Закупки сырья'!$B$35:$B$43)</f>
        <v>0</v>
      </c>
      <c r="F213" s="175">
        <f>$D213*$E213*'Закупки сырья'!C$40</f>
        <v>0</v>
      </c>
      <c r="G213" s="175">
        <f>$D213*$E213*'Закупки сырья'!D$40</f>
        <v>0</v>
      </c>
      <c r="H213" s="175">
        <f>$D213*$E213*'Закупки сырья'!E$40</f>
        <v>0</v>
      </c>
      <c r="I213" s="175">
        <f>$D213*$E213*'Закупки сырья'!F$40</f>
        <v>0</v>
      </c>
      <c r="J213" s="175">
        <f>$D213*$E213*'Закупки сырья'!G$40</f>
        <v>0</v>
      </c>
      <c r="K213" s="175">
        <f>$D213*$E213*'Закупки сырья'!H$40</f>
        <v>0</v>
      </c>
      <c r="L213" s="175">
        <f>$D213*$E213*'Закупки сырья'!I$40</f>
        <v>0</v>
      </c>
      <c r="M213" s="175">
        <f>$D213*$E213*'Закупки сырья'!J$40</f>
        <v>0</v>
      </c>
      <c r="N213" s="175">
        <f>$D213*$E213*'Закупки сырья'!K$40</f>
        <v>0</v>
      </c>
      <c r="O213" s="175">
        <f>$D213*$E213*'Закупки сырья'!L$40</f>
        <v>0</v>
      </c>
      <c r="P213" s="175">
        <f>$D213*$E213*'Закупки сырья'!M$40</f>
        <v>0</v>
      </c>
      <c r="Q213" s="433">
        <f>$D213*$E213*'Закупки сырья'!N$40</f>
        <v>0</v>
      </c>
    </row>
    <row r="214" spans="1:17" ht="10.5">
      <c r="A214" s="174"/>
      <c r="B214" s="16" t="s">
        <v>408</v>
      </c>
      <c r="C214" s="131" t="s">
        <v>374</v>
      </c>
      <c r="D214" s="175">
        <f>SUMIF('Технологическая карта 2 (вспом)'!$C$128:$C$139,B214,'Технологическая карта 2 (вспом)'!$BX$128:$BX$136)</f>
        <v>0</v>
      </c>
      <c r="E214" s="175">
        <f>SUMIF('Закупки сырья'!$A$35:$A$43,B214,'Закупки сырья'!$B$35:$B$43)</f>
        <v>0</v>
      </c>
      <c r="F214" s="175">
        <f>$D214*$E214*'Закупки сырья'!C$41</f>
        <v>0</v>
      </c>
      <c r="G214" s="175">
        <f>$D214*$E214*'Закупки сырья'!D$41</f>
        <v>0</v>
      </c>
      <c r="H214" s="175">
        <f>$D214*$E214*'Закупки сырья'!E$41</f>
        <v>0</v>
      </c>
      <c r="I214" s="175">
        <f>$D214*$E214*'Закупки сырья'!F$41</f>
        <v>0</v>
      </c>
      <c r="J214" s="175">
        <f>$D214*$E214*'Закупки сырья'!G$41</f>
        <v>0</v>
      </c>
      <c r="K214" s="175">
        <f>$D214*$E214*'Закупки сырья'!H$41</f>
        <v>0</v>
      </c>
      <c r="L214" s="175">
        <f>$D214*$E214*'Закупки сырья'!I$41</f>
        <v>0</v>
      </c>
      <c r="M214" s="175">
        <f>$D214*$E214*'Закупки сырья'!J$41</f>
        <v>0</v>
      </c>
      <c r="N214" s="175">
        <f>$D214*$E214*'Закупки сырья'!K$41</f>
        <v>0</v>
      </c>
      <c r="O214" s="175">
        <f>$D214*$E214*'Закупки сырья'!L$41</f>
        <v>0</v>
      </c>
      <c r="P214" s="175">
        <f>$D214*$E214*'Закупки сырья'!M$41</f>
        <v>0</v>
      </c>
      <c r="Q214" s="433">
        <f>$D214*$E214*'Закупки сырья'!N$41</f>
        <v>0</v>
      </c>
    </row>
    <row r="215" spans="1:17" ht="10.5">
      <c r="A215" s="174"/>
      <c r="B215" s="16" t="s">
        <v>409</v>
      </c>
      <c r="C215" s="131" t="s">
        <v>374</v>
      </c>
      <c r="D215" s="175">
        <f>SUMIF('Технологическая карта 2 (вспом)'!$C$128:$C$139,B215,'Технологическая карта 2 (вспом)'!$BX$128:$BX$136)</f>
        <v>0</v>
      </c>
      <c r="E215" s="175">
        <f>SUMIF('Закупки сырья'!$A$35:$A$43,B215,'Закупки сырья'!$B$35:$B$43)</f>
        <v>0</v>
      </c>
      <c r="F215" s="175">
        <f>$D215*$E215*'Закупки сырья'!C$42</f>
        <v>0</v>
      </c>
      <c r="G215" s="175">
        <f>$D215*$E215*'Закупки сырья'!D$42</f>
        <v>0</v>
      </c>
      <c r="H215" s="175">
        <f>$D215*$E215*'Закупки сырья'!E$42</f>
        <v>0</v>
      </c>
      <c r="I215" s="175">
        <f>$D215*$E215*'Закупки сырья'!F$42</f>
        <v>0</v>
      </c>
      <c r="J215" s="175">
        <f>$D215*$E215*'Закупки сырья'!G$42</f>
        <v>0</v>
      </c>
      <c r="K215" s="175">
        <f>$D215*$E215*'Закупки сырья'!H$42</f>
        <v>0</v>
      </c>
      <c r="L215" s="175">
        <f>$D215*$E215*'Закупки сырья'!I$42</f>
        <v>0</v>
      </c>
      <c r="M215" s="175">
        <f>$D215*$E215*'Закупки сырья'!J$42</f>
        <v>0</v>
      </c>
      <c r="N215" s="175">
        <f>$D215*$E215*'Закупки сырья'!K$42</f>
        <v>0</v>
      </c>
      <c r="O215" s="175">
        <f>$D215*$E215*'Закупки сырья'!L$42</f>
        <v>0</v>
      </c>
      <c r="P215" s="175">
        <f>$D215*$E215*'Закупки сырья'!M$42</f>
        <v>0</v>
      </c>
      <c r="Q215" s="433">
        <f>$D215*$E215*'Закупки сырья'!N$42</f>
        <v>0</v>
      </c>
    </row>
    <row r="216" spans="1:17" ht="10.5">
      <c r="A216" s="174"/>
      <c r="B216" s="16" t="s">
        <v>410</v>
      </c>
      <c r="C216" s="131" t="s">
        <v>374</v>
      </c>
      <c r="D216" s="175">
        <f>SUMIF('Технологическая карта 2 (вспом)'!$C$128:$C$139,B216,'Технологическая карта 2 (вспом)'!$BX$128:$BX$136)</f>
        <v>0</v>
      </c>
      <c r="E216" s="175">
        <f>SUMIF('Закупки сырья'!$A$35:$A$43,B216,'Закупки сырья'!$B$35:$B$43)</f>
        <v>0</v>
      </c>
      <c r="F216" s="175">
        <f>$D216*$E216*'Закупки сырья'!C$43</f>
        <v>0</v>
      </c>
      <c r="G216" s="175">
        <f>$D216*$E216*'Закупки сырья'!D$43</f>
        <v>0</v>
      </c>
      <c r="H216" s="175">
        <f>$D216*$E216*'Закупки сырья'!E$43</f>
        <v>0</v>
      </c>
      <c r="I216" s="175">
        <f>$D216*$E216*'Закупки сырья'!F$43</f>
        <v>0</v>
      </c>
      <c r="J216" s="175">
        <f>$D216*$E216*'Закупки сырья'!G$43</f>
        <v>0</v>
      </c>
      <c r="K216" s="175">
        <f>$D216*$E216*'Закупки сырья'!H$43</f>
        <v>0</v>
      </c>
      <c r="L216" s="175">
        <f>$D216*$E216*'Закупки сырья'!I$43</f>
        <v>0</v>
      </c>
      <c r="M216" s="175">
        <f>$D216*$E216*'Закупки сырья'!J$43</f>
        <v>0</v>
      </c>
      <c r="N216" s="175">
        <f>$D216*$E216*'Закупки сырья'!K$43</f>
        <v>0</v>
      </c>
      <c r="O216" s="175">
        <f>$D216*$E216*'Закупки сырья'!L$43</f>
        <v>0</v>
      </c>
      <c r="P216" s="175">
        <f>$D216*$E216*'Закупки сырья'!M$43</f>
        <v>0</v>
      </c>
      <c r="Q216" s="433">
        <f>$D216*$E216*'Закупки сырья'!N$43</f>
        <v>0</v>
      </c>
    </row>
    <row r="217" spans="1:19" ht="10.5">
      <c r="A217" s="244"/>
      <c r="B217" s="438" t="s">
        <v>64</v>
      </c>
      <c r="C217" s="138"/>
      <c r="D217" s="347" t="s">
        <v>342</v>
      </c>
      <c r="E217" s="347" t="s">
        <v>342</v>
      </c>
      <c r="F217" s="347" t="s">
        <v>342</v>
      </c>
      <c r="G217" s="347" t="s">
        <v>342</v>
      </c>
      <c r="H217" s="347" t="s">
        <v>342</v>
      </c>
      <c r="I217" s="347" t="s">
        <v>342</v>
      </c>
      <c r="J217" s="347" t="s">
        <v>342</v>
      </c>
      <c r="K217" s="347" t="s">
        <v>342</v>
      </c>
      <c r="L217" s="347" t="s">
        <v>342</v>
      </c>
      <c r="M217" s="347" t="s">
        <v>342</v>
      </c>
      <c r="N217" s="347" t="s">
        <v>342</v>
      </c>
      <c r="O217" s="347" t="s">
        <v>342</v>
      </c>
      <c r="P217" s="347" t="s">
        <v>342</v>
      </c>
      <c r="Q217" s="406" t="s">
        <v>342</v>
      </c>
      <c r="R217" s="45"/>
      <c r="S217" s="45"/>
    </row>
    <row r="218" spans="1:17" ht="10.5">
      <c r="A218" s="182" t="str">
        <f>D207</f>
        <v>Продукт 10</v>
      </c>
      <c r="B218" s="183"/>
      <c r="C218" s="184"/>
      <c r="D218" s="185"/>
      <c r="E218" s="185"/>
      <c r="F218" s="186">
        <f aca="true" t="shared" si="42" ref="F218:Q218">SUM(F208:F217)</f>
        <v>0</v>
      </c>
      <c r="G218" s="186">
        <f t="shared" si="42"/>
        <v>0</v>
      </c>
      <c r="H218" s="186">
        <f t="shared" si="42"/>
        <v>0</v>
      </c>
      <c r="I218" s="186">
        <f t="shared" si="42"/>
        <v>0</v>
      </c>
      <c r="J218" s="186">
        <f t="shared" si="42"/>
        <v>0</v>
      </c>
      <c r="K218" s="186">
        <f t="shared" si="42"/>
        <v>0</v>
      </c>
      <c r="L218" s="186">
        <f t="shared" si="42"/>
        <v>0</v>
      </c>
      <c r="M218" s="186">
        <f t="shared" si="42"/>
        <v>0</v>
      </c>
      <c r="N218" s="186">
        <f t="shared" si="42"/>
        <v>0</v>
      </c>
      <c r="O218" s="186">
        <f t="shared" si="42"/>
        <v>0</v>
      </c>
      <c r="P218" s="186">
        <f t="shared" si="42"/>
        <v>0</v>
      </c>
      <c r="Q218" s="437">
        <f t="shared" si="42"/>
        <v>0</v>
      </c>
    </row>
    <row r="219" ht="11.25" thickBot="1"/>
    <row r="220" spans="1:17" ht="21">
      <c r="A220" s="80" t="s">
        <v>0</v>
      </c>
      <c r="B220" s="55" t="s">
        <v>90</v>
      </c>
      <c r="C220" s="171" t="s">
        <v>264</v>
      </c>
      <c r="D220" s="172" t="str">
        <f>VLOOKUP(C220,Классификаторы!$A$71:$B$92,2,0)</f>
        <v>Продукт 11</v>
      </c>
      <c r="E220" s="173" t="s">
        <v>94</v>
      </c>
      <c r="F220" s="173">
        <v>39448</v>
      </c>
      <c r="G220" s="173">
        <v>39479</v>
      </c>
      <c r="H220" s="173">
        <v>39508</v>
      </c>
      <c r="I220" s="173">
        <v>39539</v>
      </c>
      <c r="J220" s="173">
        <v>39569</v>
      </c>
      <c r="K220" s="173">
        <v>39600</v>
      </c>
      <c r="L220" s="173">
        <v>39630</v>
      </c>
      <c r="M220" s="173">
        <v>39661</v>
      </c>
      <c r="N220" s="173">
        <v>39692</v>
      </c>
      <c r="O220" s="173">
        <v>39722</v>
      </c>
      <c r="P220" s="173">
        <v>39753</v>
      </c>
      <c r="Q220" s="173">
        <v>39783</v>
      </c>
    </row>
    <row r="221" spans="1:17" s="45" customFormat="1" ht="10.5">
      <c r="A221" s="242"/>
      <c r="B221" s="16" t="s">
        <v>402</v>
      </c>
      <c r="C221" s="131" t="s">
        <v>375</v>
      </c>
      <c r="D221" s="431">
        <f>SUMIF('Технологическая карта 2 (вспом)'!$C$128:$C$139,B221,'Технологическая карта 2 (вспом)'!$CF$128:$CF$136)</f>
        <v>0</v>
      </c>
      <c r="E221" s="431">
        <f>SUMIF('Закупки сырья'!$A$35:$A$43,B221,'Закупки сырья'!$B$35:$B$43)</f>
        <v>0</v>
      </c>
      <c r="F221" s="431">
        <f>$D221*$E221*'Закупки сырья'!C$35</f>
        <v>0</v>
      </c>
      <c r="G221" s="431">
        <f>$D221*$E221*'Закупки сырья'!D$35</f>
        <v>0</v>
      </c>
      <c r="H221" s="431">
        <f>$D221*$E221*'Закупки сырья'!E$35</f>
        <v>0</v>
      </c>
      <c r="I221" s="431">
        <f>$D221*$E221*'Закупки сырья'!F$35</f>
        <v>0</v>
      </c>
      <c r="J221" s="431">
        <f>$D221*$E221*'Закупки сырья'!G$35</f>
        <v>0</v>
      </c>
      <c r="K221" s="431">
        <f>$D221*$E221*'Закупки сырья'!H$35</f>
        <v>0</v>
      </c>
      <c r="L221" s="431">
        <f>$D221*$E221*'Закупки сырья'!I$35</f>
        <v>0</v>
      </c>
      <c r="M221" s="431">
        <f>$D221*$E221*'Закупки сырья'!J$35</f>
        <v>0</v>
      </c>
      <c r="N221" s="431">
        <f>$D221*$E221*'Закупки сырья'!K$35</f>
        <v>0</v>
      </c>
      <c r="O221" s="431">
        <f>$D221*$E221*'Закупки сырья'!L$35</f>
        <v>0</v>
      </c>
      <c r="P221" s="431">
        <f>$D221*$E221*'Закупки сырья'!M$35</f>
        <v>0</v>
      </c>
      <c r="Q221" s="432">
        <f>$D221*$E221*'Закупки сырья'!N$35</f>
        <v>0</v>
      </c>
    </row>
    <row r="222" spans="1:17" ht="10.5">
      <c r="A222" s="174"/>
      <c r="B222" s="16" t="s">
        <v>403</v>
      </c>
      <c r="C222" s="131" t="s">
        <v>375</v>
      </c>
      <c r="D222" s="175">
        <f>SUMIF('Технологическая карта 2 (вспом)'!$C$128:$C$139,B222,'Технологическая карта 2 (вспом)'!$CF$128:$CF$136)</f>
        <v>0</v>
      </c>
      <c r="E222" s="175">
        <f>SUMIF('Закупки сырья'!$A$35:$A$43,B222,'Закупки сырья'!$B$35:$B$43)</f>
        <v>0</v>
      </c>
      <c r="F222" s="175">
        <f>$D222*$E222*'Закупки сырья'!C$36</f>
        <v>0</v>
      </c>
      <c r="G222" s="175">
        <f>$D222*$E222*'Закупки сырья'!D$36</f>
        <v>0</v>
      </c>
      <c r="H222" s="175">
        <f>$D222*$E222*'Закупки сырья'!E$36</f>
        <v>0</v>
      </c>
      <c r="I222" s="175">
        <f>$D222*$E222*'Закупки сырья'!F$36</f>
        <v>0</v>
      </c>
      <c r="J222" s="175">
        <f>$D222*$E222*'Закупки сырья'!G$36</f>
        <v>0</v>
      </c>
      <c r="K222" s="175">
        <f>$D222*$E222*'Закупки сырья'!H$36</f>
        <v>0</v>
      </c>
      <c r="L222" s="175">
        <f>$D222*$E222*'Закупки сырья'!I$36</f>
        <v>0</v>
      </c>
      <c r="M222" s="175">
        <f>$D222*$E222*'Закупки сырья'!J$36</f>
        <v>0</v>
      </c>
      <c r="N222" s="175">
        <f>$D222*$E222*'Закупки сырья'!K$36</f>
        <v>0</v>
      </c>
      <c r="O222" s="175">
        <f>$D222*$E222*'Закупки сырья'!L$36</f>
        <v>0</v>
      </c>
      <c r="P222" s="175">
        <f>$D222*$E222*'Закупки сырья'!M$36</f>
        <v>0</v>
      </c>
      <c r="Q222" s="433">
        <f>$D222*$E222*'Закупки сырья'!N$36</f>
        <v>0</v>
      </c>
    </row>
    <row r="223" spans="1:17" ht="10.5">
      <c r="A223" s="174"/>
      <c r="B223" s="16" t="s">
        <v>404</v>
      </c>
      <c r="C223" s="131" t="s">
        <v>375</v>
      </c>
      <c r="D223" s="175">
        <f>SUMIF('Технологическая карта 2 (вспом)'!$C$128:$C$139,B223,'Технологическая карта 2 (вспом)'!$CF$128:$CF$136)</f>
        <v>0</v>
      </c>
      <c r="E223" s="175">
        <f>SUMIF('Закупки сырья'!$A$35:$A$43,B223,'Закупки сырья'!$B$35:$B$43)</f>
        <v>0</v>
      </c>
      <c r="F223" s="175">
        <f>$D223*$E223*'Закупки сырья'!C$37</f>
        <v>0</v>
      </c>
      <c r="G223" s="175">
        <f>$D223*$E223*'Закупки сырья'!D$37</f>
        <v>0</v>
      </c>
      <c r="H223" s="175">
        <f>$D223*$E223*'Закупки сырья'!E$37</f>
        <v>0</v>
      </c>
      <c r="I223" s="175">
        <f>$D223*$E223*'Закупки сырья'!F$37</f>
        <v>0</v>
      </c>
      <c r="J223" s="175">
        <f>$D223*$E223*'Закупки сырья'!G$37</f>
        <v>0</v>
      </c>
      <c r="K223" s="175">
        <f>$D223*$E223*'Закупки сырья'!H$37</f>
        <v>0</v>
      </c>
      <c r="L223" s="175">
        <f>$D223*$E223*'Закупки сырья'!I$37</f>
        <v>0</v>
      </c>
      <c r="M223" s="175">
        <f>$D223*$E223*'Закупки сырья'!J$37</f>
        <v>0</v>
      </c>
      <c r="N223" s="175">
        <f>$D223*$E223*'Закупки сырья'!K$37</f>
        <v>0</v>
      </c>
      <c r="O223" s="175">
        <f>$D223*$E223*'Закупки сырья'!L$37</f>
        <v>0</v>
      </c>
      <c r="P223" s="175">
        <f>$D223*$E223*'Закупки сырья'!M$37</f>
        <v>0</v>
      </c>
      <c r="Q223" s="433">
        <f>$D223*$E223*'Закупки сырья'!N$37</f>
        <v>0</v>
      </c>
    </row>
    <row r="224" spans="1:17" ht="10.5">
      <c r="A224" s="174"/>
      <c r="B224" s="16" t="s">
        <v>405</v>
      </c>
      <c r="C224" s="131" t="s">
        <v>375</v>
      </c>
      <c r="D224" s="175">
        <f>SUMIF('Технологическая карта 2 (вспом)'!$C$128:$C$139,B224,'Технологическая карта 2 (вспом)'!$CF$128:$CF$136)</f>
        <v>0</v>
      </c>
      <c r="E224" s="175">
        <f>SUMIF('Закупки сырья'!$A$35:$A$43,B224,'Закупки сырья'!$B$35:$B$43)</f>
        <v>0</v>
      </c>
      <c r="F224" s="175">
        <f>$D224*$E224*'Закупки сырья'!C$38</f>
        <v>0</v>
      </c>
      <c r="G224" s="175">
        <f>$D224*$E224*'Закупки сырья'!D$38</f>
        <v>0</v>
      </c>
      <c r="H224" s="175">
        <f>$D224*$E224*'Закупки сырья'!E$38</f>
        <v>0</v>
      </c>
      <c r="I224" s="175">
        <f>$D224*$E224*'Закупки сырья'!F$38</f>
        <v>0</v>
      </c>
      <c r="J224" s="175">
        <f>$D224*$E224*'Закупки сырья'!G$38</f>
        <v>0</v>
      </c>
      <c r="K224" s="175">
        <f>$D224*$E224*'Закупки сырья'!H$38</f>
        <v>0</v>
      </c>
      <c r="L224" s="175">
        <f>$D224*$E224*'Закупки сырья'!I$38</f>
        <v>0</v>
      </c>
      <c r="M224" s="175">
        <f>$D224*$E224*'Закупки сырья'!J$38</f>
        <v>0</v>
      </c>
      <c r="N224" s="175">
        <f>$D224*$E224*'Закупки сырья'!K$38</f>
        <v>0</v>
      </c>
      <c r="O224" s="175">
        <f>$D224*$E224*'Закупки сырья'!L$38</f>
        <v>0</v>
      </c>
      <c r="P224" s="175">
        <f>$D224*$E224*'Закупки сырья'!M$38</f>
        <v>0</v>
      </c>
      <c r="Q224" s="433">
        <f>$D224*$E224*'Закупки сырья'!N$38</f>
        <v>0</v>
      </c>
    </row>
    <row r="225" spans="1:17" ht="10.5">
      <c r="A225" s="174"/>
      <c r="B225" s="16" t="s">
        <v>406</v>
      </c>
      <c r="C225" s="131" t="s">
        <v>375</v>
      </c>
      <c r="D225" s="175">
        <f>SUMIF('Технологическая карта 2 (вспом)'!$C$128:$C$139,B225,'Технологическая карта 2 (вспом)'!$CF$128:$CF$136)</f>
        <v>0</v>
      </c>
      <c r="E225" s="175">
        <f>SUMIF('Закупки сырья'!$A$35:$A$43,B225,'Закупки сырья'!$B$35:$B$43)</f>
        <v>0</v>
      </c>
      <c r="F225" s="175">
        <f>$D225*$E225*'Закупки сырья'!C$39</f>
        <v>0</v>
      </c>
      <c r="G225" s="175">
        <f>$D225*$E225*'Закупки сырья'!D$39</f>
        <v>0</v>
      </c>
      <c r="H225" s="175">
        <f>$D225*$E225*'Закупки сырья'!E$39</f>
        <v>0</v>
      </c>
      <c r="I225" s="175">
        <f>$D225*$E225*'Закупки сырья'!F$39</f>
        <v>0</v>
      </c>
      <c r="J225" s="175">
        <f>$D225*$E225*'Закупки сырья'!G$39</f>
        <v>0</v>
      </c>
      <c r="K225" s="175">
        <f>$D225*$E225*'Закупки сырья'!H$39</f>
        <v>0</v>
      </c>
      <c r="L225" s="175">
        <f>$D225*$E225*'Закупки сырья'!I$39</f>
        <v>0</v>
      </c>
      <c r="M225" s="175">
        <f>$D225*$E225*'Закупки сырья'!J$39</f>
        <v>0</v>
      </c>
      <c r="N225" s="175">
        <f>$D225*$E225*'Закупки сырья'!K$39</f>
        <v>0</v>
      </c>
      <c r="O225" s="175">
        <f>$D225*$E225*'Закупки сырья'!L$39</f>
        <v>0</v>
      </c>
      <c r="P225" s="175">
        <f>$D225*$E225*'Закупки сырья'!M$39</f>
        <v>0</v>
      </c>
      <c r="Q225" s="433">
        <f>$D225*$E225*'Закупки сырья'!N$39</f>
        <v>0</v>
      </c>
    </row>
    <row r="226" spans="1:17" ht="10.5">
      <c r="A226" s="174"/>
      <c r="B226" s="16" t="s">
        <v>407</v>
      </c>
      <c r="C226" s="131" t="s">
        <v>375</v>
      </c>
      <c r="D226" s="175">
        <f>SUMIF('Технологическая карта 2 (вспом)'!$C$128:$C$139,B226,'Технологическая карта 2 (вспом)'!$CF$128:$CF$136)</f>
        <v>0</v>
      </c>
      <c r="E226" s="175">
        <f>SUMIF('Закупки сырья'!$A$35:$A$43,B226,'Закупки сырья'!$B$35:$B$43)</f>
        <v>0</v>
      </c>
      <c r="F226" s="175">
        <f>$D226*$E226*'Закупки сырья'!C$40</f>
        <v>0</v>
      </c>
      <c r="G226" s="175">
        <f>$D226*$E226*'Закупки сырья'!D$40</f>
        <v>0</v>
      </c>
      <c r="H226" s="175">
        <f>$D226*$E226*'Закупки сырья'!E$40</f>
        <v>0</v>
      </c>
      <c r="I226" s="175">
        <f>$D226*$E226*'Закупки сырья'!F$40</f>
        <v>0</v>
      </c>
      <c r="J226" s="175">
        <f>$D226*$E226*'Закупки сырья'!G$40</f>
        <v>0</v>
      </c>
      <c r="K226" s="175">
        <f>$D226*$E226*'Закупки сырья'!H$40</f>
        <v>0</v>
      </c>
      <c r="L226" s="175">
        <f>$D226*$E226*'Закупки сырья'!I$40</f>
        <v>0</v>
      </c>
      <c r="M226" s="175">
        <f>$D226*$E226*'Закупки сырья'!J$40</f>
        <v>0</v>
      </c>
      <c r="N226" s="175">
        <f>$D226*$E226*'Закупки сырья'!K$40</f>
        <v>0</v>
      </c>
      <c r="O226" s="175">
        <f>$D226*$E226*'Закупки сырья'!L$40</f>
        <v>0</v>
      </c>
      <c r="P226" s="175">
        <f>$D226*$E226*'Закупки сырья'!M$40</f>
        <v>0</v>
      </c>
      <c r="Q226" s="433">
        <f>$D226*$E226*'Закупки сырья'!N$40</f>
        <v>0</v>
      </c>
    </row>
    <row r="227" spans="1:17" ht="10.5">
      <c r="A227" s="174"/>
      <c r="B227" s="16" t="s">
        <v>408</v>
      </c>
      <c r="C227" s="131" t="s">
        <v>375</v>
      </c>
      <c r="D227" s="175">
        <f>SUMIF('Технологическая карта 2 (вспом)'!$C$128:$C$139,B227,'Технологическая карта 2 (вспом)'!$CF$128:$CF$136)</f>
        <v>0</v>
      </c>
      <c r="E227" s="175">
        <f>SUMIF('Закупки сырья'!$A$35:$A$43,B227,'Закупки сырья'!$B$35:$B$43)</f>
        <v>0</v>
      </c>
      <c r="F227" s="175">
        <f>$D227*$E227*'Закупки сырья'!C$41</f>
        <v>0</v>
      </c>
      <c r="G227" s="175">
        <f>$D227*$E227*'Закупки сырья'!D$41</f>
        <v>0</v>
      </c>
      <c r="H227" s="175">
        <f>$D227*$E227*'Закупки сырья'!E$41</f>
        <v>0</v>
      </c>
      <c r="I227" s="175">
        <f>$D227*$E227*'Закупки сырья'!F$41</f>
        <v>0</v>
      </c>
      <c r="J227" s="175">
        <f>$D227*$E227*'Закупки сырья'!G$41</f>
        <v>0</v>
      </c>
      <c r="K227" s="175">
        <f>$D227*$E227*'Закупки сырья'!H$41</f>
        <v>0</v>
      </c>
      <c r="L227" s="175">
        <f>$D227*$E227*'Закупки сырья'!I$41</f>
        <v>0</v>
      </c>
      <c r="M227" s="175">
        <f>$D227*$E227*'Закупки сырья'!J$41</f>
        <v>0</v>
      </c>
      <c r="N227" s="175">
        <f>$D227*$E227*'Закупки сырья'!K$41</f>
        <v>0</v>
      </c>
      <c r="O227" s="175">
        <f>$D227*$E227*'Закупки сырья'!L$41</f>
        <v>0</v>
      </c>
      <c r="P227" s="175">
        <f>$D227*$E227*'Закупки сырья'!M$41</f>
        <v>0</v>
      </c>
      <c r="Q227" s="433">
        <f>$D227*$E227*'Закупки сырья'!N$41</f>
        <v>0</v>
      </c>
    </row>
    <row r="228" spans="1:17" ht="10.5">
      <c r="A228" s="174"/>
      <c r="B228" s="16" t="s">
        <v>409</v>
      </c>
      <c r="C228" s="131" t="s">
        <v>375</v>
      </c>
      <c r="D228" s="175">
        <f>SUMIF('Технологическая карта 2 (вспом)'!$C$128:$C$139,B228,'Технологическая карта 2 (вспом)'!$CF$128:$CF$136)</f>
        <v>0</v>
      </c>
      <c r="E228" s="175">
        <f>SUMIF('Закупки сырья'!$A$35:$A$43,B228,'Закупки сырья'!$B$35:$B$43)</f>
        <v>0</v>
      </c>
      <c r="F228" s="175">
        <f>$D228*$E228*'Закупки сырья'!C$42</f>
        <v>0</v>
      </c>
      <c r="G228" s="175">
        <f>$D228*$E228*'Закупки сырья'!D$42</f>
        <v>0</v>
      </c>
      <c r="H228" s="175">
        <f>$D228*$E228*'Закупки сырья'!E$42</f>
        <v>0</v>
      </c>
      <c r="I228" s="175">
        <f>$D228*$E228*'Закупки сырья'!F$42</f>
        <v>0</v>
      </c>
      <c r="J228" s="175">
        <f>$D228*$E228*'Закупки сырья'!G$42</f>
        <v>0</v>
      </c>
      <c r="K228" s="175">
        <f>$D228*$E228*'Закупки сырья'!H$42</f>
        <v>0</v>
      </c>
      <c r="L228" s="175">
        <f>$D228*$E228*'Закупки сырья'!I$42</f>
        <v>0</v>
      </c>
      <c r="M228" s="175">
        <f>$D228*$E228*'Закупки сырья'!J$42</f>
        <v>0</v>
      </c>
      <c r="N228" s="175">
        <f>$D228*$E228*'Закупки сырья'!K$42</f>
        <v>0</v>
      </c>
      <c r="O228" s="175">
        <f>$D228*$E228*'Закупки сырья'!L$42</f>
        <v>0</v>
      </c>
      <c r="P228" s="175">
        <f>$D228*$E228*'Закупки сырья'!M$42</f>
        <v>0</v>
      </c>
      <c r="Q228" s="433">
        <f>$D228*$E228*'Закупки сырья'!N$42</f>
        <v>0</v>
      </c>
    </row>
    <row r="229" spans="1:17" ht="10.5">
      <c r="A229" s="174"/>
      <c r="B229" s="16" t="s">
        <v>410</v>
      </c>
      <c r="C229" s="131" t="s">
        <v>375</v>
      </c>
      <c r="D229" s="175">
        <f>SUMIF('Технологическая карта 2 (вспом)'!$C$128:$C$139,B229,'Технологическая карта 2 (вспом)'!$CF$128:$CF$136)</f>
        <v>0</v>
      </c>
      <c r="E229" s="175">
        <f>SUMIF('Закупки сырья'!$A$35:$A$43,B229,'Закупки сырья'!$B$35:$B$43)</f>
        <v>0</v>
      </c>
      <c r="F229" s="175">
        <f>$D229*$E229*'Закупки сырья'!C$43</f>
        <v>0</v>
      </c>
      <c r="G229" s="175">
        <f>$D229*$E229*'Закупки сырья'!D$43</f>
        <v>0</v>
      </c>
      <c r="H229" s="175">
        <f>$D229*$E229*'Закупки сырья'!E$43</f>
        <v>0</v>
      </c>
      <c r="I229" s="175">
        <f>$D229*$E229*'Закупки сырья'!F$43</f>
        <v>0</v>
      </c>
      <c r="J229" s="175">
        <f>$D229*$E229*'Закупки сырья'!G$43</f>
        <v>0</v>
      </c>
      <c r="K229" s="175">
        <f>$D229*$E229*'Закупки сырья'!H$43</f>
        <v>0</v>
      </c>
      <c r="L229" s="175">
        <f>$D229*$E229*'Закупки сырья'!I$43</f>
        <v>0</v>
      </c>
      <c r="M229" s="175">
        <f>$D229*$E229*'Закупки сырья'!J$43</f>
        <v>0</v>
      </c>
      <c r="N229" s="175">
        <f>$D229*$E229*'Закупки сырья'!K$43</f>
        <v>0</v>
      </c>
      <c r="O229" s="175">
        <f>$D229*$E229*'Закупки сырья'!L$43</f>
        <v>0</v>
      </c>
      <c r="P229" s="175">
        <f>$D229*$E229*'Закупки сырья'!M$43</f>
        <v>0</v>
      </c>
      <c r="Q229" s="433">
        <f>$D229*$E229*'Закупки сырья'!N$43</f>
        <v>0</v>
      </c>
    </row>
    <row r="230" spans="1:19" ht="10.5">
      <c r="A230" s="244"/>
      <c r="B230" s="438" t="s">
        <v>64</v>
      </c>
      <c r="C230" s="138"/>
      <c r="D230" s="347" t="s">
        <v>342</v>
      </c>
      <c r="E230" s="347" t="s">
        <v>342</v>
      </c>
      <c r="F230" s="347" t="s">
        <v>342</v>
      </c>
      <c r="G230" s="347" t="s">
        <v>342</v>
      </c>
      <c r="H230" s="347" t="s">
        <v>342</v>
      </c>
      <c r="I230" s="347" t="s">
        <v>342</v>
      </c>
      <c r="J230" s="347" t="s">
        <v>342</v>
      </c>
      <c r="K230" s="347" t="s">
        <v>342</v>
      </c>
      <c r="L230" s="347" t="s">
        <v>342</v>
      </c>
      <c r="M230" s="347" t="s">
        <v>342</v>
      </c>
      <c r="N230" s="347" t="s">
        <v>342</v>
      </c>
      <c r="O230" s="347" t="s">
        <v>342</v>
      </c>
      <c r="P230" s="347" t="s">
        <v>342</v>
      </c>
      <c r="Q230" s="406" t="s">
        <v>342</v>
      </c>
      <c r="R230" s="45"/>
      <c r="S230" s="45"/>
    </row>
    <row r="231" spans="1:17" ht="10.5">
      <c r="A231" s="182" t="str">
        <f>D220</f>
        <v>Продукт 11</v>
      </c>
      <c r="B231" s="183"/>
      <c r="C231" s="184"/>
      <c r="D231" s="185"/>
      <c r="E231" s="185"/>
      <c r="F231" s="186">
        <f aca="true" t="shared" si="43" ref="F231:Q231">SUM(F221:F230)</f>
        <v>0</v>
      </c>
      <c r="G231" s="186">
        <f t="shared" si="43"/>
        <v>0</v>
      </c>
      <c r="H231" s="186">
        <f t="shared" si="43"/>
        <v>0</v>
      </c>
      <c r="I231" s="186">
        <f t="shared" si="43"/>
        <v>0</v>
      </c>
      <c r="J231" s="186">
        <f t="shared" si="43"/>
        <v>0</v>
      </c>
      <c r="K231" s="186">
        <f t="shared" si="43"/>
        <v>0</v>
      </c>
      <c r="L231" s="186">
        <f t="shared" si="43"/>
        <v>0</v>
      </c>
      <c r="M231" s="186">
        <f t="shared" si="43"/>
        <v>0</v>
      </c>
      <c r="N231" s="186">
        <f t="shared" si="43"/>
        <v>0</v>
      </c>
      <c r="O231" s="186">
        <f t="shared" si="43"/>
        <v>0</v>
      </c>
      <c r="P231" s="186">
        <f t="shared" si="43"/>
        <v>0</v>
      </c>
      <c r="Q231" s="437">
        <f t="shared" si="43"/>
        <v>0</v>
      </c>
    </row>
    <row r="232" ht="11.25" thickBot="1"/>
    <row r="233" spans="1:17" ht="21">
      <c r="A233" s="80" t="s">
        <v>0</v>
      </c>
      <c r="B233" s="55" t="s">
        <v>90</v>
      </c>
      <c r="C233" s="171" t="s">
        <v>265</v>
      </c>
      <c r="D233" s="172" t="str">
        <f>VLOOKUP(C233,Классификаторы!$A$71:$B$92,2,0)</f>
        <v>Продукт 12</v>
      </c>
      <c r="E233" s="173" t="s">
        <v>94</v>
      </c>
      <c r="F233" s="173">
        <v>39448</v>
      </c>
      <c r="G233" s="173">
        <v>39479</v>
      </c>
      <c r="H233" s="173">
        <v>39508</v>
      </c>
      <c r="I233" s="173">
        <v>39539</v>
      </c>
      <c r="J233" s="173">
        <v>39569</v>
      </c>
      <c r="K233" s="173">
        <v>39600</v>
      </c>
      <c r="L233" s="173">
        <v>39630</v>
      </c>
      <c r="M233" s="173">
        <v>39661</v>
      </c>
      <c r="N233" s="173">
        <v>39692</v>
      </c>
      <c r="O233" s="173">
        <v>39722</v>
      </c>
      <c r="P233" s="173">
        <v>39753</v>
      </c>
      <c r="Q233" s="173">
        <v>39783</v>
      </c>
    </row>
    <row r="234" spans="1:17" s="45" customFormat="1" ht="10.5">
      <c r="A234" s="242"/>
      <c r="B234" s="16" t="s">
        <v>402</v>
      </c>
      <c r="C234" s="131" t="s">
        <v>375</v>
      </c>
      <c r="D234" s="431">
        <f>SUMIF('Технологическая карта 2 (вспом)'!$C$128:$C$139,B234,'Технологическая карта 2 (вспом)'!$CV$128:$CV$136)</f>
        <v>0</v>
      </c>
      <c r="E234" s="431">
        <f>SUMIF('Закупки сырья'!$A$35:$A$43,B234,'Закупки сырья'!$B$35:$B$43)</f>
        <v>0</v>
      </c>
      <c r="F234" s="431">
        <f>$D234*$E234*'Закупки сырья'!C$35</f>
        <v>0</v>
      </c>
      <c r="G234" s="431">
        <f>$D234*$E234*'Закупки сырья'!D$35</f>
        <v>0</v>
      </c>
      <c r="H234" s="431">
        <f>$D234*$E234*'Закупки сырья'!E$35</f>
        <v>0</v>
      </c>
      <c r="I234" s="431">
        <f>$D234*$E234*'Закупки сырья'!F$35</f>
        <v>0</v>
      </c>
      <c r="J234" s="431">
        <f>$D234*$E234*'Закупки сырья'!G$35</f>
        <v>0</v>
      </c>
      <c r="K234" s="431">
        <f>$D234*$E234*'Закупки сырья'!H$35</f>
        <v>0</v>
      </c>
      <c r="L234" s="431">
        <f>$D234*$E234*'Закупки сырья'!I$35</f>
        <v>0</v>
      </c>
      <c r="M234" s="431">
        <f>$D234*$E234*'Закупки сырья'!J$35</f>
        <v>0</v>
      </c>
      <c r="N234" s="431">
        <f>$D234*$E234*'Закупки сырья'!K$35</f>
        <v>0</v>
      </c>
      <c r="O234" s="431">
        <f>$D234*$E234*'Закупки сырья'!L$35</f>
        <v>0</v>
      </c>
      <c r="P234" s="431">
        <f>$D234*$E234*'Закупки сырья'!M$35</f>
        <v>0</v>
      </c>
      <c r="Q234" s="432">
        <f>$D234*$E234*'Закупки сырья'!N$35</f>
        <v>0</v>
      </c>
    </row>
    <row r="235" spans="1:17" ht="10.5">
      <c r="A235" s="174"/>
      <c r="B235" s="16" t="s">
        <v>403</v>
      </c>
      <c r="C235" s="131" t="s">
        <v>375</v>
      </c>
      <c r="D235" s="175">
        <f>SUMIF('Технологическая карта 2 (вспом)'!$C$128:$C$139,B235,'Технологическая карта 2 (вспом)'!$CV$128:$CV$136)</f>
        <v>0</v>
      </c>
      <c r="E235" s="175">
        <f>SUMIF('Закупки сырья'!$A$35:$A$43,B235,'Закупки сырья'!$B$35:$B$43)</f>
        <v>0</v>
      </c>
      <c r="F235" s="175">
        <f>$D235*$E235*'Закупки сырья'!C$36</f>
        <v>0</v>
      </c>
      <c r="G235" s="175">
        <f>$D235*$E235*'Закупки сырья'!D$36</f>
        <v>0</v>
      </c>
      <c r="H235" s="175">
        <f>$D235*$E235*'Закупки сырья'!E$36</f>
        <v>0</v>
      </c>
      <c r="I235" s="175">
        <f>$D235*$E235*'Закупки сырья'!F$36</f>
        <v>0</v>
      </c>
      <c r="J235" s="175">
        <f>$D235*$E235*'Закупки сырья'!G$36</f>
        <v>0</v>
      </c>
      <c r="K235" s="175">
        <f>$D235*$E235*'Закупки сырья'!H$36</f>
        <v>0</v>
      </c>
      <c r="L235" s="175">
        <f>$D235*$E235*'Закупки сырья'!I$36</f>
        <v>0</v>
      </c>
      <c r="M235" s="175">
        <f>$D235*$E235*'Закупки сырья'!J$36</f>
        <v>0</v>
      </c>
      <c r="N235" s="175">
        <f>$D235*$E235*'Закупки сырья'!K$36</f>
        <v>0</v>
      </c>
      <c r="O235" s="175">
        <f>$D235*$E235*'Закупки сырья'!L$36</f>
        <v>0</v>
      </c>
      <c r="P235" s="175">
        <f>$D235*$E235*'Закупки сырья'!M$36</f>
        <v>0</v>
      </c>
      <c r="Q235" s="433">
        <f>$D235*$E235*'Закупки сырья'!N$36</f>
        <v>0</v>
      </c>
    </row>
    <row r="236" spans="1:17" ht="10.5">
      <c r="A236" s="174"/>
      <c r="B236" s="16" t="s">
        <v>404</v>
      </c>
      <c r="C236" s="131" t="s">
        <v>375</v>
      </c>
      <c r="D236" s="175">
        <f>SUMIF('Технологическая карта 2 (вспом)'!$C$128:$C$139,B236,'Технологическая карта 2 (вспом)'!$CV$128:$CV$136)</f>
        <v>0</v>
      </c>
      <c r="E236" s="175">
        <f>SUMIF('Закупки сырья'!$A$35:$A$43,B236,'Закупки сырья'!$B$35:$B$43)</f>
        <v>0</v>
      </c>
      <c r="F236" s="175">
        <f>$D236*$E236*'Закупки сырья'!C$37</f>
        <v>0</v>
      </c>
      <c r="G236" s="175">
        <f>$D236*$E236*'Закупки сырья'!D$37</f>
        <v>0</v>
      </c>
      <c r="H236" s="175">
        <f>$D236*$E236*'Закупки сырья'!E$37</f>
        <v>0</v>
      </c>
      <c r="I236" s="175">
        <f>$D236*$E236*'Закупки сырья'!F$37</f>
        <v>0</v>
      </c>
      <c r="J236" s="175">
        <f>$D236*$E236*'Закупки сырья'!G$37</f>
        <v>0</v>
      </c>
      <c r="K236" s="175">
        <f>$D236*$E236*'Закупки сырья'!H$37</f>
        <v>0</v>
      </c>
      <c r="L236" s="175">
        <f>$D236*$E236*'Закупки сырья'!I$37</f>
        <v>0</v>
      </c>
      <c r="M236" s="175">
        <f>$D236*$E236*'Закупки сырья'!J$37</f>
        <v>0</v>
      </c>
      <c r="N236" s="175">
        <f>$D236*$E236*'Закупки сырья'!K$37</f>
        <v>0</v>
      </c>
      <c r="O236" s="175">
        <f>$D236*$E236*'Закупки сырья'!L$37</f>
        <v>0</v>
      </c>
      <c r="P236" s="175">
        <f>$D236*$E236*'Закупки сырья'!M$37</f>
        <v>0</v>
      </c>
      <c r="Q236" s="433">
        <f>$D236*$E236*'Закупки сырья'!N$37</f>
        <v>0</v>
      </c>
    </row>
    <row r="237" spans="1:17" ht="10.5">
      <c r="A237" s="174"/>
      <c r="B237" s="16" t="s">
        <v>405</v>
      </c>
      <c r="C237" s="131" t="s">
        <v>375</v>
      </c>
      <c r="D237" s="175">
        <f>SUMIF('Технологическая карта 2 (вспом)'!$C$128:$C$139,B237,'Технологическая карта 2 (вспом)'!$CV$128:$CV$136)</f>
        <v>0</v>
      </c>
      <c r="E237" s="175">
        <f>SUMIF('Закупки сырья'!$A$35:$A$43,B237,'Закупки сырья'!$B$35:$B$43)</f>
        <v>0</v>
      </c>
      <c r="F237" s="175">
        <f>$D237*$E237*'Закупки сырья'!C$38</f>
        <v>0</v>
      </c>
      <c r="G237" s="175">
        <f>$D237*$E237*'Закупки сырья'!D$38</f>
        <v>0</v>
      </c>
      <c r="H237" s="175">
        <f>$D237*$E237*'Закупки сырья'!E$38</f>
        <v>0</v>
      </c>
      <c r="I237" s="175">
        <f>$D237*$E237*'Закупки сырья'!F$38</f>
        <v>0</v>
      </c>
      <c r="J237" s="175">
        <f>$D237*$E237*'Закупки сырья'!G$38</f>
        <v>0</v>
      </c>
      <c r="K237" s="175">
        <f>$D237*$E237*'Закупки сырья'!H$38</f>
        <v>0</v>
      </c>
      <c r="L237" s="175">
        <f>$D237*$E237*'Закупки сырья'!I$38</f>
        <v>0</v>
      </c>
      <c r="M237" s="175">
        <f>$D237*$E237*'Закупки сырья'!J$38</f>
        <v>0</v>
      </c>
      <c r="N237" s="175">
        <f>$D237*$E237*'Закупки сырья'!K$38</f>
        <v>0</v>
      </c>
      <c r="O237" s="175">
        <f>$D237*$E237*'Закупки сырья'!L$38</f>
        <v>0</v>
      </c>
      <c r="P237" s="175">
        <f>$D237*$E237*'Закупки сырья'!M$38</f>
        <v>0</v>
      </c>
      <c r="Q237" s="433">
        <f>$D237*$E237*'Закупки сырья'!N$38</f>
        <v>0</v>
      </c>
    </row>
    <row r="238" spans="1:17" ht="10.5">
      <c r="A238" s="174"/>
      <c r="B238" s="16" t="s">
        <v>406</v>
      </c>
      <c r="C238" s="131" t="s">
        <v>375</v>
      </c>
      <c r="D238" s="175">
        <f>SUMIF('Технологическая карта 2 (вспом)'!$C$128:$C$139,B238,'Технологическая карта 2 (вспом)'!$CV$128:$CV$136)</f>
        <v>0</v>
      </c>
      <c r="E238" s="175">
        <f>SUMIF('Закупки сырья'!$A$35:$A$43,B238,'Закупки сырья'!$B$35:$B$43)</f>
        <v>0</v>
      </c>
      <c r="F238" s="175">
        <f>$D238*$E238*'Закупки сырья'!C$39</f>
        <v>0</v>
      </c>
      <c r="G238" s="175">
        <f>$D238*$E238*'Закупки сырья'!D$39</f>
        <v>0</v>
      </c>
      <c r="H238" s="175">
        <f>$D238*$E238*'Закупки сырья'!E$39</f>
        <v>0</v>
      </c>
      <c r="I238" s="175">
        <f>$D238*$E238*'Закупки сырья'!F$39</f>
        <v>0</v>
      </c>
      <c r="J238" s="175">
        <f>$D238*$E238*'Закупки сырья'!G$39</f>
        <v>0</v>
      </c>
      <c r="K238" s="175">
        <f>$D238*$E238*'Закупки сырья'!H$39</f>
        <v>0</v>
      </c>
      <c r="L238" s="175">
        <f>$D238*$E238*'Закупки сырья'!I$39</f>
        <v>0</v>
      </c>
      <c r="M238" s="175">
        <f>$D238*$E238*'Закупки сырья'!J$39</f>
        <v>0</v>
      </c>
      <c r="N238" s="175">
        <f>$D238*$E238*'Закупки сырья'!K$39</f>
        <v>0</v>
      </c>
      <c r="O238" s="175">
        <f>$D238*$E238*'Закупки сырья'!L$39</f>
        <v>0</v>
      </c>
      <c r="P238" s="175">
        <f>$D238*$E238*'Закупки сырья'!M$39</f>
        <v>0</v>
      </c>
      <c r="Q238" s="433">
        <f>$D238*$E238*'Закупки сырья'!N$39</f>
        <v>0</v>
      </c>
    </row>
    <row r="239" spans="1:17" ht="10.5">
      <c r="A239" s="174"/>
      <c r="B239" s="16" t="s">
        <v>407</v>
      </c>
      <c r="C239" s="131" t="s">
        <v>375</v>
      </c>
      <c r="D239" s="175">
        <f>SUMIF('Технологическая карта 2 (вспом)'!$C$128:$C$139,B239,'Технологическая карта 2 (вспом)'!$CV$128:$CV$136)</f>
        <v>0</v>
      </c>
      <c r="E239" s="175">
        <f>SUMIF('Закупки сырья'!$A$35:$A$43,B239,'Закупки сырья'!$B$35:$B$43)</f>
        <v>0</v>
      </c>
      <c r="F239" s="175">
        <f>$D239*$E239*'Закупки сырья'!C$40</f>
        <v>0</v>
      </c>
      <c r="G239" s="175">
        <f>$D239*$E239*'Закупки сырья'!D$40</f>
        <v>0</v>
      </c>
      <c r="H239" s="175">
        <f>$D239*$E239*'Закупки сырья'!E$40</f>
        <v>0</v>
      </c>
      <c r="I239" s="175">
        <f>$D239*$E239*'Закупки сырья'!F$40</f>
        <v>0</v>
      </c>
      <c r="J239" s="175">
        <f>$D239*$E239*'Закупки сырья'!G$40</f>
        <v>0</v>
      </c>
      <c r="K239" s="175">
        <f>$D239*$E239*'Закупки сырья'!H$40</f>
        <v>0</v>
      </c>
      <c r="L239" s="175">
        <f>$D239*$E239*'Закупки сырья'!I$40</f>
        <v>0</v>
      </c>
      <c r="M239" s="175">
        <f>$D239*$E239*'Закупки сырья'!J$40</f>
        <v>0</v>
      </c>
      <c r="N239" s="175">
        <f>$D239*$E239*'Закупки сырья'!K$40</f>
        <v>0</v>
      </c>
      <c r="O239" s="175">
        <f>$D239*$E239*'Закупки сырья'!L$40</f>
        <v>0</v>
      </c>
      <c r="P239" s="175">
        <f>$D239*$E239*'Закупки сырья'!M$40</f>
        <v>0</v>
      </c>
      <c r="Q239" s="433">
        <f>$D239*$E239*'Закупки сырья'!N$40</f>
        <v>0</v>
      </c>
    </row>
    <row r="240" spans="1:17" ht="10.5">
      <c r="A240" s="174"/>
      <c r="B240" s="16" t="s">
        <v>408</v>
      </c>
      <c r="C240" s="131" t="s">
        <v>375</v>
      </c>
      <c r="D240" s="175">
        <f>SUMIF('Технологическая карта 2 (вспом)'!$C$128:$C$139,B240,'Технологическая карта 2 (вспом)'!$CV$128:$CV$136)</f>
        <v>0</v>
      </c>
      <c r="E240" s="175">
        <f>SUMIF('Закупки сырья'!$A$35:$A$43,B240,'Закупки сырья'!$B$35:$B$43)</f>
        <v>0</v>
      </c>
      <c r="F240" s="175">
        <f>$D240*$E240*'Закупки сырья'!C$41</f>
        <v>0</v>
      </c>
      <c r="G240" s="175">
        <f>$D240*$E240*'Закупки сырья'!D$41</f>
        <v>0</v>
      </c>
      <c r="H240" s="175">
        <f>$D240*$E240*'Закупки сырья'!E$41</f>
        <v>0</v>
      </c>
      <c r="I240" s="175">
        <f>$D240*$E240*'Закупки сырья'!F$41</f>
        <v>0</v>
      </c>
      <c r="J240" s="175">
        <f>$D240*$E240*'Закупки сырья'!G$41</f>
        <v>0</v>
      </c>
      <c r="K240" s="175">
        <f>$D240*$E240*'Закупки сырья'!H$41</f>
        <v>0</v>
      </c>
      <c r="L240" s="175">
        <f>$D240*$E240*'Закупки сырья'!I$41</f>
        <v>0</v>
      </c>
      <c r="M240" s="175">
        <f>$D240*$E240*'Закупки сырья'!J$41</f>
        <v>0</v>
      </c>
      <c r="N240" s="175">
        <f>$D240*$E240*'Закупки сырья'!K$41</f>
        <v>0</v>
      </c>
      <c r="O240" s="175">
        <f>$D240*$E240*'Закупки сырья'!L$41</f>
        <v>0</v>
      </c>
      <c r="P240" s="175">
        <f>$D240*$E240*'Закупки сырья'!M$41</f>
        <v>0</v>
      </c>
      <c r="Q240" s="433">
        <f>$D240*$E240*'Закупки сырья'!N$41</f>
        <v>0</v>
      </c>
    </row>
    <row r="241" spans="1:17" ht="10.5">
      <c r="A241" s="174"/>
      <c r="B241" s="16" t="s">
        <v>409</v>
      </c>
      <c r="C241" s="131" t="s">
        <v>375</v>
      </c>
      <c r="D241" s="175">
        <f>SUMIF('Технологическая карта 2 (вспом)'!$C$128:$C$139,B241,'Технологическая карта 2 (вспом)'!$CV$128:$CV$136)</f>
        <v>0</v>
      </c>
      <c r="E241" s="175">
        <f>SUMIF('Закупки сырья'!$A$35:$A$43,B241,'Закупки сырья'!$B$35:$B$43)</f>
        <v>0</v>
      </c>
      <c r="F241" s="175">
        <f>$D241*$E241*'Закупки сырья'!C$42</f>
        <v>0</v>
      </c>
      <c r="G241" s="175">
        <f>$D241*$E241*'Закупки сырья'!D$42</f>
        <v>0</v>
      </c>
      <c r="H241" s="175">
        <f>$D241*$E241*'Закупки сырья'!E$42</f>
        <v>0</v>
      </c>
      <c r="I241" s="175">
        <f>$D241*$E241*'Закупки сырья'!F$42</f>
        <v>0</v>
      </c>
      <c r="J241" s="175">
        <f>$D241*$E241*'Закупки сырья'!G$42</f>
        <v>0</v>
      </c>
      <c r="K241" s="175">
        <f>$D241*$E241*'Закупки сырья'!H$42</f>
        <v>0</v>
      </c>
      <c r="L241" s="175">
        <f>$D241*$E241*'Закупки сырья'!I$42</f>
        <v>0</v>
      </c>
      <c r="M241" s="175">
        <f>$D241*$E241*'Закупки сырья'!J$42</f>
        <v>0</v>
      </c>
      <c r="N241" s="175">
        <f>$D241*$E241*'Закупки сырья'!K$42</f>
        <v>0</v>
      </c>
      <c r="O241" s="175">
        <f>$D241*$E241*'Закупки сырья'!L$42</f>
        <v>0</v>
      </c>
      <c r="P241" s="175">
        <f>$D241*$E241*'Закупки сырья'!M$42</f>
        <v>0</v>
      </c>
      <c r="Q241" s="433">
        <f>$D241*$E241*'Закупки сырья'!N$42</f>
        <v>0</v>
      </c>
    </row>
    <row r="242" spans="1:17" ht="10.5">
      <c r="A242" s="174"/>
      <c r="B242" s="16" t="s">
        <v>410</v>
      </c>
      <c r="C242" s="131" t="s">
        <v>375</v>
      </c>
      <c r="D242" s="175">
        <f>SUMIF('Технологическая карта 2 (вспом)'!$C$128:$C$139,B242,'Технологическая карта 2 (вспом)'!$CV$128:$CV$136)</f>
        <v>0</v>
      </c>
      <c r="E242" s="175">
        <f>SUMIF('Закупки сырья'!$A$35:$A$43,B242,'Закупки сырья'!$B$35:$B$43)</f>
        <v>0</v>
      </c>
      <c r="F242" s="175">
        <f>$D242*$E242*'Закупки сырья'!C$43</f>
        <v>0</v>
      </c>
      <c r="G242" s="175">
        <f>$D242*$E242*'Закупки сырья'!D$43</f>
        <v>0</v>
      </c>
      <c r="H242" s="175">
        <f>$D242*$E242*'Закупки сырья'!E$43</f>
        <v>0</v>
      </c>
      <c r="I242" s="175">
        <f>$D242*$E242*'Закупки сырья'!F$43</f>
        <v>0</v>
      </c>
      <c r="J242" s="175">
        <f>$D242*$E242*'Закупки сырья'!G$43</f>
        <v>0</v>
      </c>
      <c r="K242" s="175">
        <f>$D242*$E242*'Закупки сырья'!H$43</f>
        <v>0</v>
      </c>
      <c r="L242" s="175">
        <f>$D242*$E242*'Закупки сырья'!I$43</f>
        <v>0</v>
      </c>
      <c r="M242" s="175">
        <f>$D242*$E242*'Закупки сырья'!J$43</f>
        <v>0</v>
      </c>
      <c r="N242" s="175">
        <f>$D242*$E242*'Закупки сырья'!K$43</f>
        <v>0</v>
      </c>
      <c r="O242" s="175">
        <f>$D242*$E242*'Закупки сырья'!L$43</f>
        <v>0</v>
      </c>
      <c r="P242" s="175">
        <f>$D242*$E242*'Закупки сырья'!M$43</f>
        <v>0</v>
      </c>
      <c r="Q242" s="433">
        <f>$D242*$E242*'Закупки сырья'!N$43</f>
        <v>0</v>
      </c>
    </row>
    <row r="243" spans="1:19" ht="10.5">
      <c r="A243" s="244"/>
      <c r="B243" s="438" t="s">
        <v>64</v>
      </c>
      <c r="C243" s="138"/>
      <c r="D243" s="347" t="s">
        <v>342</v>
      </c>
      <c r="E243" s="347" t="s">
        <v>342</v>
      </c>
      <c r="F243" s="347" t="s">
        <v>342</v>
      </c>
      <c r="G243" s="347" t="s">
        <v>342</v>
      </c>
      <c r="H243" s="347" t="s">
        <v>342</v>
      </c>
      <c r="I243" s="347" t="s">
        <v>342</v>
      </c>
      <c r="J243" s="347" t="s">
        <v>342</v>
      </c>
      <c r="K243" s="347" t="s">
        <v>342</v>
      </c>
      <c r="L243" s="347" t="s">
        <v>342</v>
      </c>
      <c r="M243" s="347" t="s">
        <v>342</v>
      </c>
      <c r="N243" s="347" t="s">
        <v>342</v>
      </c>
      <c r="O243" s="347" t="s">
        <v>342</v>
      </c>
      <c r="P243" s="347" t="s">
        <v>342</v>
      </c>
      <c r="Q243" s="406" t="s">
        <v>342</v>
      </c>
      <c r="R243" s="45"/>
      <c r="S243" s="45"/>
    </row>
    <row r="244" spans="1:17" ht="10.5">
      <c r="A244" s="182" t="str">
        <f>D233</f>
        <v>Продукт 12</v>
      </c>
      <c r="B244" s="183"/>
      <c r="C244" s="184"/>
      <c r="D244" s="185"/>
      <c r="E244" s="185"/>
      <c r="F244" s="186">
        <f aca="true" t="shared" si="44" ref="F244:Q244">SUM(F234:F243)</f>
        <v>0</v>
      </c>
      <c r="G244" s="186">
        <f t="shared" si="44"/>
        <v>0</v>
      </c>
      <c r="H244" s="186">
        <f t="shared" si="44"/>
        <v>0</v>
      </c>
      <c r="I244" s="186">
        <f t="shared" si="44"/>
        <v>0</v>
      </c>
      <c r="J244" s="186">
        <f t="shared" si="44"/>
        <v>0</v>
      </c>
      <c r="K244" s="186">
        <f t="shared" si="44"/>
        <v>0</v>
      </c>
      <c r="L244" s="186">
        <f t="shared" si="44"/>
        <v>0</v>
      </c>
      <c r="M244" s="186">
        <f t="shared" si="44"/>
        <v>0</v>
      </c>
      <c r="N244" s="186">
        <f t="shared" si="44"/>
        <v>0</v>
      </c>
      <c r="O244" s="186">
        <f t="shared" si="44"/>
        <v>0</v>
      </c>
      <c r="P244" s="186">
        <f t="shared" si="44"/>
        <v>0</v>
      </c>
      <c r="Q244" s="437">
        <f t="shared" si="44"/>
        <v>0</v>
      </c>
    </row>
    <row r="245" ht="11.25" thickBot="1"/>
    <row r="246" spans="1:17" ht="21">
      <c r="A246" s="80" t="s">
        <v>0</v>
      </c>
      <c r="B246" s="55" t="s">
        <v>90</v>
      </c>
      <c r="C246" s="171" t="s">
        <v>267</v>
      </c>
      <c r="D246" s="172" t="str">
        <f>VLOOKUP(C246,Классификаторы!$A$71:$B$92,2,0)</f>
        <v>Продукт 13</v>
      </c>
      <c r="E246" s="173" t="s">
        <v>94</v>
      </c>
      <c r="F246" s="173">
        <v>39448</v>
      </c>
      <c r="G246" s="173">
        <v>39479</v>
      </c>
      <c r="H246" s="173">
        <v>39508</v>
      </c>
      <c r="I246" s="173">
        <v>39539</v>
      </c>
      <c r="J246" s="173">
        <v>39569</v>
      </c>
      <c r="K246" s="173">
        <v>39600</v>
      </c>
      <c r="L246" s="173">
        <v>39630</v>
      </c>
      <c r="M246" s="173">
        <v>39661</v>
      </c>
      <c r="N246" s="173">
        <v>39692</v>
      </c>
      <c r="O246" s="173">
        <v>39722</v>
      </c>
      <c r="P246" s="173">
        <v>39753</v>
      </c>
      <c r="Q246" s="173">
        <v>39783</v>
      </c>
    </row>
    <row r="247" spans="1:17" ht="10.5">
      <c r="A247" s="242"/>
      <c r="B247" s="16" t="s">
        <v>402</v>
      </c>
      <c r="C247" s="131" t="s">
        <v>375</v>
      </c>
      <c r="D247" s="431">
        <f>SUMIF('Технологическая карта 2 (вспом)'!$C$128:$C$139,B247,'Технологическая карта 2 (вспом)'!$CV$128:$CV$136)</f>
        <v>0</v>
      </c>
      <c r="E247" s="431">
        <f>SUMIF('Закупки сырья'!$A$35:$A$43,B247,'Закупки сырья'!$B$35:$B$43)</f>
        <v>0</v>
      </c>
      <c r="F247" s="431">
        <f>$D247*$E247*'Закупки сырья'!C$35</f>
        <v>0</v>
      </c>
      <c r="G247" s="431">
        <f>$D247*$E247*'Закупки сырья'!D$35</f>
        <v>0</v>
      </c>
      <c r="H247" s="431">
        <f>$D247*$E247*'Закупки сырья'!E$35</f>
        <v>0</v>
      </c>
      <c r="I247" s="431">
        <f>$D247*$E247*'Закупки сырья'!F$35</f>
        <v>0</v>
      </c>
      <c r="J247" s="431">
        <f>$D247*$E247*'Закупки сырья'!G$35</f>
        <v>0</v>
      </c>
      <c r="K247" s="431">
        <f>$D247*$E247*'Закупки сырья'!H$35</f>
        <v>0</v>
      </c>
      <c r="L247" s="431">
        <f>$D247*$E247*'Закупки сырья'!I$35</f>
        <v>0</v>
      </c>
      <c r="M247" s="431">
        <f>$D247*$E247*'Закупки сырья'!J$35</f>
        <v>0</v>
      </c>
      <c r="N247" s="431">
        <f>$D247*$E247*'Закупки сырья'!K$35</f>
        <v>0</v>
      </c>
      <c r="O247" s="431">
        <f>$D247*$E247*'Закупки сырья'!L$35</f>
        <v>0</v>
      </c>
      <c r="P247" s="431">
        <f>$D247*$E247*'Закупки сырья'!M$35</f>
        <v>0</v>
      </c>
      <c r="Q247" s="432">
        <f>$D247*$E247*'Закупки сырья'!N$35</f>
        <v>0</v>
      </c>
    </row>
    <row r="248" spans="1:17" ht="10.5">
      <c r="A248" s="174"/>
      <c r="B248" s="16" t="s">
        <v>403</v>
      </c>
      <c r="C248" s="131" t="s">
        <v>375</v>
      </c>
      <c r="D248" s="175">
        <f>SUMIF('Технологическая карта 2 (вспом)'!$C$128:$C$139,B248,'Технологическая карта 2 (вспом)'!$CV$128:$CV$136)</f>
        <v>0</v>
      </c>
      <c r="E248" s="175">
        <f>SUMIF('Закупки сырья'!$A$35:$A$43,B248,'Закупки сырья'!$B$35:$B$43)</f>
        <v>0</v>
      </c>
      <c r="F248" s="175">
        <f>$D248*$E248*'Закупки сырья'!C$36</f>
        <v>0</v>
      </c>
      <c r="G248" s="175">
        <f>$D248*$E248*'Закупки сырья'!D$36</f>
        <v>0</v>
      </c>
      <c r="H248" s="175">
        <f>$D248*$E248*'Закупки сырья'!E$36</f>
        <v>0</v>
      </c>
      <c r="I248" s="175">
        <f>$D248*$E248*'Закупки сырья'!F$36</f>
        <v>0</v>
      </c>
      <c r="J248" s="175">
        <f>$D248*$E248*'Закупки сырья'!G$36</f>
        <v>0</v>
      </c>
      <c r="K248" s="175">
        <f>$D248*$E248*'Закупки сырья'!H$36</f>
        <v>0</v>
      </c>
      <c r="L248" s="175">
        <f>$D248*$E248*'Закупки сырья'!I$36</f>
        <v>0</v>
      </c>
      <c r="M248" s="175">
        <f>$D248*$E248*'Закупки сырья'!J$36</f>
        <v>0</v>
      </c>
      <c r="N248" s="175">
        <f>$D248*$E248*'Закупки сырья'!K$36</f>
        <v>0</v>
      </c>
      <c r="O248" s="175">
        <f>$D248*$E248*'Закупки сырья'!L$36</f>
        <v>0</v>
      </c>
      <c r="P248" s="175">
        <f>$D248*$E248*'Закупки сырья'!M$36</f>
        <v>0</v>
      </c>
      <c r="Q248" s="433">
        <f>$D248*$E248*'Закупки сырья'!N$36</f>
        <v>0</v>
      </c>
    </row>
    <row r="249" spans="1:17" ht="10.5">
      <c r="A249" s="174"/>
      <c r="B249" s="16" t="s">
        <v>404</v>
      </c>
      <c r="C249" s="131" t="s">
        <v>375</v>
      </c>
      <c r="D249" s="175">
        <f>SUMIF('Технологическая карта 2 (вспом)'!$C$128:$C$139,B249,'Технологическая карта 2 (вспом)'!$CV$128:$CV$136)</f>
        <v>0</v>
      </c>
      <c r="E249" s="175">
        <f>SUMIF('Закупки сырья'!$A$35:$A$43,B249,'Закупки сырья'!$B$35:$B$43)</f>
        <v>0</v>
      </c>
      <c r="F249" s="175">
        <f>$D249*$E249*'Закупки сырья'!C$37</f>
        <v>0</v>
      </c>
      <c r="G249" s="175">
        <f>$D249*$E249*'Закупки сырья'!D$37</f>
        <v>0</v>
      </c>
      <c r="H249" s="175">
        <f>$D249*$E249*'Закупки сырья'!E$37</f>
        <v>0</v>
      </c>
      <c r="I249" s="175">
        <f>$D249*$E249*'Закупки сырья'!F$37</f>
        <v>0</v>
      </c>
      <c r="J249" s="175">
        <f>$D249*$E249*'Закупки сырья'!G$37</f>
        <v>0</v>
      </c>
      <c r="K249" s="175">
        <f>$D249*$E249*'Закупки сырья'!H$37</f>
        <v>0</v>
      </c>
      <c r="L249" s="175">
        <f>$D249*$E249*'Закупки сырья'!I$37</f>
        <v>0</v>
      </c>
      <c r="M249" s="175">
        <f>$D249*$E249*'Закупки сырья'!J$37</f>
        <v>0</v>
      </c>
      <c r="N249" s="175">
        <f>$D249*$E249*'Закупки сырья'!K$37</f>
        <v>0</v>
      </c>
      <c r="O249" s="175">
        <f>$D249*$E249*'Закупки сырья'!L$37</f>
        <v>0</v>
      </c>
      <c r="P249" s="175">
        <f>$D249*$E249*'Закупки сырья'!M$37</f>
        <v>0</v>
      </c>
      <c r="Q249" s="433">
        <f>$D249*$E249*'Закупки сырья'!N$37</f>
        <v>0</v>
      </c>
    </row>
    <row r="250" spans="1:17" ht="10.5">
      <c r="A250" s="174"/>
      <c r="B250" s="16" t="s">
        <v>405</v>
      </c>
      <c r="C250" s="131" t="s">
        <v>375</v>
      </c>
      <c r="D250" s="175">
        <f>SUMIF('Технологическая карта 2 (вспом)'!$C$128:$C$139,B250,'Технологическая карта 2 (вспом)'!$CV$128:$CV$136)</f>
        <v>0</v>
      </c>
      <c r="E250" s="175">
        <f>SUMIF('Закупки сырья'!$A$35:$A$43,B250,'Закупки сырья'!$B$35:$B$43)</f>
        <v>0</v>
      </c>
      <c r="F250" s="175">
        <f>$D250*$E250*'Закупки сырья'!C$38</f>
        <v>0</v>
      </c>
      <c r="G250" s="175">
        <f>$D250*$E250*'Закупки сырья'!D$38</f>
        <v>0</v>
      </c>
      <c r="H250" s="175">
        <f>$D250*$E250*'Закупки сырья'!E$38</f>
        <v>0</v>
      </c>
      <c r="I250" s="175">
        <f>$D250*$E250*'Закупки сырья'!F$38</f>
        <v>0</v>
      </c>
      <c r="J250" s="175">
        <f>$D250*$E250*'Закупки сырья'!G$38</f>
        <v>0</v>
      </c>
      <c r="K250" s="175">
        <f>$D250*$E250*'Закупки сырья'!H$38</f>
        <v>0</v>
      </c>
      <c r="L250" s="175">
        <f>$D250*$E250*'Закупки сырья'!I$38</f>
        <v>0</v>
      </c>
      <c r="M250" s="175">
        <f>$D250*$E250*'Закупки сырья'!J$38</f>
        <v>0</v>
      </c>
      <c r="N250" s="175">
        <f>$D250*$E250*'Закупки сырья'!K$38</f>
        <v>0</v>
      </c>
      <c r="O250" s="175">
        <f>$D250*$E250*'Закупки сырья'!L$38</f>
        <v>0</v>
      </c>
      <c r="P250" s="175">
        <f>$D250*$E250*'Закупки сырья'!M$38</f>
        <v>0</v>
      </c>
      <c r="Q250" s="433">
        <f>$D250*$E250*'Закупки сырья'!N$38</f>
        <v>0</v>
      </c>
    </row>
    <row r="251" spans="1:17" ht="10.5">
      <c r="A251" s="174"/>
      <c r="B251" s="16" t="s">
        <v>406</v>
      </c>
      <c r="C251" s="131" t="s">
        <v>375</v>
      </c>
      <c r="D251" s="175">
        <f>SUMIF('Технологическая карта 2 (вспом)'!$C$128:$C$139,B251,'Технологическая карта 2 (вспом)'!$CV$128:$CV$136)</f>
        <v>0</v>
      </c>
      <c r="E251" s="175">
        <f>SUMIF('Закупки сырья'!$A$35:$A$43,B251,'Закупки сырья'!$B$35:$B$43)</f>
        <v>0</v>
      </c>
      <c r="F251" s="175">
        <f>$D251*$E251*'Закупки сырья'!C$39</f>
        <v>0</v>
      </c>
      <c r="G251" s="175">
        <f>$D251*$E251*'Закупки сырья'!D$39</f>
        <v>0</v>
      </c>
      <c r="H251" s="175">
        <f>$D251*$E251*'Закупки сырья'!E$39</f>
        <v>0</v>
      </c>
      <c r="I251" s="175">
        <f>$D251*$E251*'Закупки сырья'!F$39</f>
        <v>0</v>
      </c>
      <c r="J251" s="175">
        <f>$D251*$E251*'Закупки сырья'!G$39</f>
        <v>0</v>
      </c>
      <c r="K251" s="175">
        <f>$D251*$E251*'Закупки сырья'!H$39</f>
        <v>0</v>
      </c>
      <c r="L251" s="175">
        <f>$D251*$E251*'Закупки сырья'!I$39</f>
        <v>0</v>
      </c>
      <c r="M251" s="175">
        <f>$D251*$E251*'Закупки сырья'!J$39</f>
        <v>0</v>
      </c>
      <c r="N251" s="175">
        <f>$D251*$E251*'Закупки сырья'!K$39</f>
        <v>0</v>
      </c>
      <c r="O251" s="175">
        <f>$D251*$E251*'Закупки сырья'!L$39</f>
        <v>0</v>
      </c>
      <c r="P251" s="175">
        <f>$D251*$E251*'Закупки сырья'!M$39</f>
        <v>0</v>
      </c>
      <c r="Q251" s="433">
        <f>$D251*$E251*'Закупки сырья'!N$39</f>
        <v>0</v>
      </c>
    </row>
    <row r="252" spans="1:17" ht="10.5">
      <c r="A252" s="174"/>
      <c r="B252" s="16" t="s">
        <v>407</v>
      </c>
      <c r="C252" s="131" t="s">
        <v>375</v>
      </c>
      <c r="D252" s="175">
        <f>SUMIF('Технологическая карта 2 (вспом)'!$C$128:$C$139,B252,'Технологическая карта 2 (вспом)'!$CV$128:$CV$136)</f>
        <v>0</v>
      </c>
      <c r="E252" s="175">
        <f>SUMIF('Закупки сырья'!$A$35:$A$43,B252,'Закупки сырья'!$B$35:$B$43)</f>
        <v>0</v>
      </c>
      <c r="F252" s="175">
        <f>$D252*$E252*'Закупки сырья'!C$40</f>
        <v>0</v>
      </c>
      <c r="G252" s="175">
        <f>$D252*$E252*'Закупки сырья'!D$40</f>
        <v>0</v>
      </c>
      <c r="H252" s="175">
        <f>$D252*$E252*'Закупки сырья'!E$40</f>
        <v>0</v>
      </c>
      <c r="I252" s="175">
        <f>$D252*$E252*'Закупки сырья'!F$40</f>
        <v>0</v>
      </c>
      <c r="J252" s="175">
        <f>$D252*$E252*'Закупки сырья'!G$40</f>
        <v>0</v>
      </c>
      <c r="K252" s="175">
        <f>$D252*$E252*'Закупки сырья'!H$40</f>
        <v>0</v>
      </c>
      <c r="L252" s="175">
        <f>$D252*$E252*'Закупки сырья'!I$40</f>
        <v>0</v>
      </c>
      <c r="M252" s="175">
        <f>$D252*$E252*'Закупки сырья'!J$40</f>
        <v>0</v>
      </c>
      <c r="N252" s="175">
        <f>$D252*$E252*'Закупки сырья'!K$40</f>
        <v>0</v>
      </c>
      <c r="O252" s="175">
        <f>$D252*$E252*'Закупки сырья'!L$40</f>
        <v>0</v>
      </c>
      <c r="P252" s="175">
        <f>$D252*$E252*'Закупки сырья'!M$40</f>
        <v>0</v>
      </c>
      <c r="Q252" s="433">
        <f>$D252*$E252*'Закупки сырья'!N$40</f>
        <v>0</v>
      </c>
    </row>
    <row r="253" spans="1:17" ht="10.5">
      <c r="A253" s="174"/>
      <c r="B253" s="16" t="s">
        <v>408</v>
      </c>
      <c r="C253" s="131" t="s">
        <v>375</v>
      </c>
      <c r="D253" s="175">
        <f>SUMIF('Технологическая карта 2 (вспом)'!$C$128:$C$139,B253,'Технологическая карта 2 (вспом)'!$CV$128:$CV$136)</f>
        <v>0</v>
      </c>
      <c r="E253" s="175">
        <f>SUMIF('Закупки сырья'!$A$35:$A$43,B253,'Закупки сырья'!$B$35:$B$43)</f>
        <v>0</v>
      </c>
      <c r="F253" s="175">
        <f>$D253*$E253*'Закупки сырья'!C$41</f>
        <v>0</v>
      </c>
      <c r="G253" s="175">
        <f>$D253*$E253*'Закупки сырья'!D$41</f>
        <v>0</v>
      </c>
      <c r="H253" s="175">
        <f>$D253*$E253*'Закупки сырья'!E$41</f>
        <v>0</v>
      </c>
      <c r="I253" s="175">
        <f>$D253*$E253*'Закупки сырья'!F$41</f>
        <v>0</v>
      </c>
      <c r="J253" s="175">
        <f>$D253*$E253*'Закупки сырья'!G$41</f>
        <v>0</v>
      </c>
      <c r="K253" s="175">
        <f>$D253*$E253*'Закупки сырья'!H$41</f>
        <v>0</v>
      </c>
      <c r="L253" s="175">
        <f>$D253*$E253*'Закупки сырья'!I$41</f>
        <v>0</v>
      </c>
      <c r="M253" s="175">
        <f>$D253*$E253*'Закупки сырья'!J$41</f>
        <v>0</v>
      </c>
      <c r="N253" s="175">
        <f>$D253*$E253*'Закупки сырья'!K$41</f>
        <v>0</v>
      </c>
      <c r="O253" s="175">
        <f>$D253*$E253*'Закупки сырья'!L$41</f>
        <v>0</v>
      </c>
      <c r="P253" s="175">
        <f>$D253*$E253*'Закупки сырья'!M$41</f>
        <v>0</v>
      </c>
      <c r="Q253" s="433">
        <f>$D253*$E253*'Закупки сырья'!N$41</f>
        <v>0</v>
      </c>
    </row>
    <row r="254" spans="1:17" ht="10.5">
      <c r="A254" s="174"/>
      <c r="B254" s="16" t="s">
        <v>409</v>
      </c>
      <c r="C254" s="131" t="s">
        <v>375</v>
      </c>
      <c r="D254" s="175">
        <f>SUMIF('Технологическая карта 2 (вспом)'!$C$128:$C$139,B254,'Технологическая карта 2 (вспом)'!$CV$128:$CV$136)</f>
        <v>0</v>
      </c>
      <c r="E254" s="175">
        <f>SUMIF('Закупки сырья'!$A$35:$A$43,B254,'Закупки сырья'!$B$35:$B$43)</f>
        <v>0</v>
      </c>
      <c r="F254" s="175">
        <f>$D254*$E254*'Закупки сырья'!C$42</f>
        <v>0</v>
      </c>
      <c r="G254" s="175">
        <f>$D254*$E254*'Закупки сырья'!D$42</f>
        <v>0</v>
      </c>
      <c r="H254" s="175">
        <f>$D254*$E254*'Закупки сырья'!E$42</f>
        <v>0</v>
      </c>
      <c r="I254" s="175">
        <f>$D254*$E254*'Закупки сырья'!F$42</f>
        <v>0</v>
      </c>
      <c r="J254" s="175">
        <f>$D254*$E254*'Закупки сырья'!G$42</f>
        <v>0</v>
      </c>
      <c r="K254" s="175">
        <f>$D254*$E254*'Закупки сырья'!H$42</f>
        <v>0</v>
      </c>
      <c r="L254" s="175">
        <f>$D254*$E254*'Закупки сырья'!I$42</f>
        <v>0</v>
      </c>
      <c r="M254" s="175">
        <f>$D254*$E254*'Закупки сырья'!J$42</f>
        <v>0</v>
      </c>
      <c r="N254" s="175">
        <f>$D254*$E254*'Закупки сырья'!K$42</f>
        <v>0</v>
      </c>
      <c r="O254" s="175">
        <f>$D254*$E254*'Закупки сырья'!L$42</f>
        <v>0</v>
      </c>
      <c r="P254" s="175">
        <f>$D254*$E254*'Закупки сырья'!M$42</f>
        <v>0</v>
      </c>
      <c r="Q254" s="433">
        <f>$D254*$E254*'Закупки сырья'!N$42</f>
        <v>0</v>
      </c>
    </row>
    <row r="255" spans="1:17" ht="10.5">
      <c r="A255" s="174"/>
      <c r="B255" s="16" t="s">
        <v>410</v>
      </c>
      <c r="C255" s="131" t="s">
        <v>375</v>
      </c>
      <c r="D255" s="175">
        <f>SUMIF('Технологическая карта 2 (вспом)'!$C$128:$C$139,B255,'Технологическая карта 2 (вспом)'!$CV$128:$CV$136)</f>
        <v>0</v>
      </c>
      <c r="E255" s="175">
        <f>SUMIF('Закупки сырья'!$A$35:$A$43,B255,'Закупки сырья'!$B$35:$B$43)</f>
        <v>0</v>
      </c>
      <c r="F255" s="175">
        <f>$D255*$E255*'Закупки сырья'!C$43</f>
        <v>0</v>
      </c>
      <c r="G255" s="175">
        <f>$D255*$E255*'Закупки сырья'!D$43</f>
        <v>0</v>
      </c>
      <c r="H255" s="175">
        <f>$D255*$E255*'Закупки сырья'!E$43</f>
        <v>0</v>
      </c>
      <c r="I255" s="175">
        <f>$D255*$E255*'Закупки сырья'!F$43</f>
        <v>0</v>
      </c>
      <c r="J255" s="175">
        <f>$D255*$E255*'Закупки сырья'!G$43</f>
        <v>0</v>
      </c>
      <c r="K255" s="175">
        <f>$D255*$E255*'Закупки сырья'!H$43</f>
        <v>0</v>
      </c>
      <c r="L255" s="175">
        <f>$D255*$E255*'Закупки сырья'!I$43</f>
        <v>0</v>
      </c>
      <c r="M255" s="175">
        <f>$D255*$E255*'Закупки сырья'!J$43</f>
        <v>0</v>
      </c>
      <c r="N255" s="175">
        <f>$D255*$E255*'Закупки сырья'!K$43</f>
        <v>0</v>
      </c>
      <c r="O255" s="175">
        <f>$D255*$E255*'Закупки сырья'!L$43</f>
        <v>0</v>
      </c>
      <c r="P255" s="175">
        <f>$D255*$E255*'Закупки сырья'!M$43</f>
        <v>0</v>
      </c>
      <c r="Q255" s="433">
        <f>$D255*$E255*'Закупки сырья'!N$43</f>
        <v>0</v>
      </c>
    </row>
    <row r="256" spans="1:19" ht="10.5">
      <c r="A256" s="244"/>
      <c r="B256" s="438" t="s">
        <v>64</v>
      </c>
      <c r="C256" s="138"/>
      <c r="D256" s="347" t="s">
        <v>342</v>
      </c>
      <c r="E256" s="347" t="s">
        <v>342</v>
      </c>
      <c r="F256" s="347" t="s">
        <v>342</v>
      </c>
      <c r="G256" s="347" t="s">
        <v>342</v>
      </c>
      <c r="H256" s="347" t="s">
        <v>342</v>
      </c>
      <c r="I256" s="347" t="s">
        <v>342</v>
      </c>
      <c r="J256" s="347" t="s">
        <v>342</v>
      </c>
      <c r="K256" s="347" t="s">
        <v>342</v>
      </c>
      <c r="L256" s="347" t="s">
        <v>342</v>
      </c>
      <c r="M256" s="347" t="s">
        <v>342</v>
      </c>
      <c r="N256" s="347" t="s">
        <v>342</v>
      </c>
      <c r="O256" s="347" t="s">
        <v>342</v>
      </c>
      <c r="P256" s="347" t="s">
        <v>342</v>
      </c>
      <c r="Q256" s="406" t="s">
        <v>342</v>
      </c>
      <c r="R256" s="45"/>
      <c r="S256" s="45"/>
    </row>
    <row r="257" spans="1:17" ht="10.5">
      <c r="A257" s="182" t="str">
        <f>D246</f>
        <v>Продукт 13</v>
      </c>
      <c r="B257" s="183"/>
      <c r="C257" s="184"/>
      <c r="D257" s="185"/>
      <c r="E257" s="185"/>
      <c r="F257" s="186">
        <f aca="true" t="shared" si="45" ref="F257:Q257">SUM(F247:F256)</f>
        <v>0</v>
      </c>
      <c r="G257" s="186">
        <f t="shared" si="45"/>
        <v>0</v>
      </c>
      <c r="H257" s="186">
        <f t="shared" si="45"/>
        <v>0</v>
      </c>
      <c r="I257" s="186">
        <f t="shared" si="45"/>
        <v>0</v>
      </c>
      <c r="J257" s="186">
        <f t="shared" si="45"/>
        <v>0</v>
      </c>
      <c r="K257" s="186">
        <f t="shared" si="45"/>
        <v>0</v>
      </c>
      <c r="L257" s="186">
        <f t="shared" si="45"/>
        <v>0</v>
      </c>
      <c r="M257" s="186">
        <f t="shared" si="45"/>
        <v>0</v>
      </c>
      <c r="N257" s="186">
        <f t="shared" si="45"/>
        <v>0</v>
      </c>
      <c r="O257" s="186">
        <f t="shared" si="45"/>
        <v>0</v>
      </c>
      <c r="P257" s="186">
        <f t="shared" si="45"/>
        <v>0</v>
      </c>
      <c r="Q257" s="437">
        <f t="shared" si="45"/>
        <v>0</v>
      </c>
    </row>
    <row r="258" ht="11.25" thickBot="1"/>
    <row r="259" spans="1:17" ht="21">
      <c r="A259" s="80" t="s">
        <v>0</v>
      </c>
      <c r="B259" s="55" t="s">
        <v>90</v>
      </c>
      <c r="C259" s="171" t="s">
        <v>268</v>
      </c>
      <c r="D259" s="172" t="str">
        <f>VLOOKUP(C259,Классификаторы!$A$71:$B$92,2,0)</f>
        <v>Продукт 14</v>
      </c>
      <c r="E259" s="173" t="s">
        <v>94</v>
      </c>
      <c r="F259" s="173">
        <v>39448</v>
      </c>
      <c r="G259" s="173">
        <v>39479</v>
      </c>
      <c r="H259" s="173">
        <v>39508</v>
      </c>
      <c r="I259" s="173">
        <v>39539</v>
      </c>
      <c r="J259" s="173">
        <v>39569</v>
      </c>
      <c r="K259" s="173">
        <v>39600</v>
      </c>
      <c r="L259" s="173">
        <v>39630</v>
      </c>
      <c r="M259" s="173">
        <v>39661</v>
      </c>
      <c r="N259" s="173">
        <v>39692</v>
      </c>
      <c r="O259" s="173">
        <v>39722</v>
      </c>
      <c r="P259" s="173">
        <v>39753</v>
      </c>
      <c r="Q259" s="173">
        <v>39783</v>
      </c>
    </row>
    <row r="260" spans="1:17" s="45" customFormat="1" ht="10.5">
      <c r="A260" s="242"/>
      <c r="B260" s="16" t="s">
        <v>402</v>
      </c>
      <c r="C260" s="131" t="s">
        <v>375</v>
      </c>
      <c r="D260" s="431">
        <f>SUMIF('Технологическая карта 2 (вспом)'!$C$128:$C$139,B260,'Технологическая карта 2 (вспом)'!$DD$128:$DD$136)</f>
        <v>0</v>
      </c>
      <c r="E260" s="431">
        <f>SUMIF('Закупки сырья'!$A$35:$A$43,B260,'Закупки сырья'!$B$35:$B$43)</f>
        <v>0</v>
      </c>
      <c r="F260" s="431">
        <f>$D260*$E260*'Закупки сырья'!C$35</f>
        <v>0</v>
      </c>
      <c r="G260" s="431">
        <f>$D260*$E260*'Закупки сырья'!D$35</f>
        <v>0</v>
      </c>
      <c r="H260" s="431">
        <f>$D260*$E260*'Закупки сырья'!E$35</f>
        <v>0</v>
      </c>
      <c r="I260" s="431">
        <f>$D260*$E260*'Закупки сырья'!F$35</f>
        <v>0</v>
      </c>
      <c r="J260" s="431">
        <f>$D260*$E260*'Закупки сырья'!G$35</f>
        <v>0</v>
      </c>
      <c r="K260" s="431">
        <f>$D260*$E260*'Закупки сырья'!H$35</f>
        <v>0</v>
      </c>
      <c r="L260" s="431">
        <f>$D260*$E260*'Закупки сырья'!I$35</f>
        <v>0</v>
      </c>
      <c r="M260" s="431">
        <f>$D260*$E260*'Закупки сырья'!J$35</f>
        <v>0</v>
      </c>
      <c r="N260" s="431">
        <f>$D260*$E260*'Закупки сырья'!K$35</f>
        <v>0</v>
      </c>
      <c r="O260" s="431">
        <f>$D260*$E260*'Закупки сырья'!L$35</f>
        <v>0</v>
      </c>
      <c r="P260" s="431">
        <f>$D260*$E260*'Закупки сырья'!M$35</f>
        <v>0</v>
      </c>
      <c r="Q260" s="432">
        <f>$D260*$E260*'Закупки сырья'!N$35</f>
        <v>0</v>
      </c>
    </row>
    <row r="261" spans="1:17" ht="10.5">
      <c r="A261" s="174"/>
      <c r="B261" s="16" t="s">
        <v>403</v>
      </c>
      <c r="C261" s="131" t="s">
        <v>375</v>
      </c>
      <c r="D261" s="175">
        <f>SUMIF('Технологическая карта 2 (вспом)'!$C$128:$C$139,B261,'Технологическая карта 2 (вспом)'!$CV$128:$CV$136)</f>
        <v>0</v>
      </c>
      <c r="E261" s="175">
        <f>SUMIF('Закупки сырья'!$A$35:$A$43,B261,'Закупки сырья'!$B$35:$B$43)</f>
        <v>0</v>
      </c>
      <c r="F261" s="175">
        <f>$D261*$E261*'Закупки сырья'!C$36</f>
        <v>0</v>
      </c>
      <c r="G261" s="175">
        <f>$D261*$E261*'Закупки сырья'!D$36</f>
        <v>0</v>
      </c>
      <c r="H261" s="175">
        <f>$D261*$E261*'Закупки сырья'!E$36</f>
        <v>0</v>
      </c>
      <c r="I261" s="175">
        <f>$D261*$E261*'Закупки сырья'!F$36</f>
        <v>0</v>
      </c>
      <c r="J261" s="175">
        <f>$D261*$E261*'Закупки сырья'!G$36</f>
        <v>0</v>
      </c>
      <c r="K261" s="175">
        <f>$D261*$E261*'Закупки сырья'!H$36</f>
        <v>0</v>
      </c>
      <c r="L261" s="175">
        <f>$D261*$E261*'Закупки сырья'!I$36</f>
        <v>0</v>
      </c>
      <c r="M261" s="175">
        <f>$D261*$E261*'Закупки сырья'!J$36</f>
        <v>0</v>
      </c>
      <c r="N261" s="175">
        <f>$D261*$E261*'Закупки сырья'!K$36</f>
        <v>0</v>
      </c>
      <c r="O261" s="175">
        <f>$D261*$E261*'Закупки сырья'!L$36</f>
        <v>0</v>
      </c>
      <c r="P261" s="175">
        <f>$D261*$E261*'Закупки сырья'!M$36</f>
        <v>0</v>
      </c>
      <c r="Q261" s="433">
        <f>$D261*$E261*'Закупки сырья'!N$36</f>
        <v>0</v>
      </c>
    </row>
    <row r="262" spans="1:17" ht="10.5">
      <c r="A262" s="174"/>
      <c r="B262" s="16" t="s">
        <v>404</v>
      </c>
      <c r="C262" s="131" t="s">
        <v>375</v>
      </c>
      <c r="D262" s="175">
        <f>SUMIF('Технологическая карта 2 (вспом)'!$C$128:$C$139,B262,'Технологическая карта 2 (вспом)'!$CV$128:$CV$136)</f>
        <v>0</v>
      </c>
      <c r="E262" s="175">
        <f>SUMIF('Закупки сырья'!$A$35:$A$43,B262,'Закупки сырья'!$B$35:$B$43)</f>
        <v>0</v>
      </c>
      <c r="F262" s="175">
        <f>$D262*$E262*'Закупки сырья'!C$37</f>
        <v>0</v>
      </c>
      <c r="G262" s="175">
        <f>$D262*$E262*'Закупки сырья'!D$37</f>
        <v>0</v>
      </c>
      <c r="H262" s="175">
        <f>$D262*$E262*'Закупки сырья'!E$37</f>
        <v>0</v>
      </c>
      <c r="I262" s="175">
        <f>$D262*$E262*'Закупки сырья'!F$37</f>
        <v>0</v>
      </c>
      <c r="J262" s="175">
        <f>$D262*$E262*'Закупки сырья'!G$37</f>
        <v>0</v>
      </c>
      <c r="K262" s="175">
        <f>$D262*$E262*'Закупки сырья'!H$37</f>
        <v>0</v>
      </c>
      <c r="L262" s="175">
        <f>$D262*$E262*'Закупки сырья'!I$37</f>
        <v>0</v>
      </c>
      <c r="M262" s="175">
        <f>$D262*$E262*'Закупки сырья'!J$37</f>
        <v>0</v>
      </c>
      <c r="N262" s="175">
        <f>$D262*$E262*'Закупки сырья'!K$37</f>
        <v>0</v>
      </c>
      <c r="O262" s="175">
        <f>$D262*$E262*'Закупки сырья'!L$37</f>
        <v>0</v>
      </c>
      <c r="P262" s="175">
        <f>$D262*$E262*'Закупки сырья'!M$37</f>
        <v>0</v>
      </c>
      <c r="Q262" s="433">
        <f>$D262*$E262*'Закупки сырья'!N$37</f>
        <v>0</v>
      </c>
    </row>
    <row r="263" spans="1:17" ht="10.5">
      <c r="A263" s="174"/>
      <c r="B263" s="16" t="s">
        <v>405</v>
      </c>
      <c r="C263" s="131" t="s">
        <v>375</v>
      </c>
      <c r="D263" s="175">
        <f>SUMIF('Технологическая карта 2 (вспом)'!$C$128:$C$139,B263,'Технологическая карта 2 (вспом)'!$CV$128:$CV$136)</f>
        <v>0</v>
      </c>
      <c r="E263" s="175">
        <f>SUMIF('Закупки сырья'!$A$35:$A$43,B263,'Закупки сырья'!$B$35:$B$43)</f>
        <v>0</v>
      </c>
      <c r="F263" s="175">
        <f>$D263*$E263*'Закупки сырья'!C$38</f>
        <v>0</v>
      </c>
      <c r="G263" s="175">
        <f>$D263*$E263*'Закупки сырья'!D$38</f>
        <v>0</v>
      </c>
      <c r="H263" s="175">
        <f>$D263*$E263*'Закупки сырья'!E$38</f>
        <v>0</v>
      </c>
      <c r="I263" s="175">
        <f>$D263*$E263*'Закупки сырья'!F$38</f>
        <v>0</v>
      </c>
      <c r="J263" s="175">
        <f>$D263*$E263*'Закупки сырья'!G$38</f>
        <v>0</v>
      </c>
      <c r="K263" s="175">
        <f>$D263*$E263*'Закупки сырья'!H$38</f>
        <v>0</v>
      </c>
      <c r="L263" s="175">
        <f>$D263*$E263*'Закупки сырья'!I$38</f>
        <v>0</v>
      </c>
      <c r="M263" s="175">
        <f>$D263*$E263*'Закупки сырья'!J$38</f>
        <v>0</v>
      </c>
      <c r="N263" s="175">
        <f>$D263*$E263*'Закупки сырья'!K$38</f>
        <v>0</v>
      </c>
      <c r="O263" s="175">
        <f>$D263*$E263*'Закупки сырья'!L$38</f>
        <v>0</v>
      </c>
      <c r="P263" s="175">
        <f>$D263*$E263*'Закупки сырья'!M$38</f>
        <v>0</v>
      </c>
      <c r="Q263" s="433">
        <f>$D263*$E263*'Закупки сырья'!N$38</f>
        <v>0</v>
      </c>
    </row>
    <row r="264" spans="1:17" ht="10.5">
      <c r="A264" s="174"/>
      <c r="B264" s="16" t="s">
        <v>406</v>
      </c>
      <c r="C264" s="131" t="s">
        <v>375</v>
      </c>
      <c r="D264" s="175">
        <f>SUMIF('Технологическая карта 2 (вспом)'!$C$128:$C$139,B264,'Технологическая карта 2 (вспом)'!$CV$128:$CV$136)</f>
        <v>0</v>
      </c>
      <c r="E264" s="175">
        <f>SUMIF('Закупки сырья'!$A$35:$A$43,B264,'Закупки сырья'!$B$35:$B$43)</f>
        <v>0</v>
      </c>
      <c r="F264" s="175">
        <f>$D264*$E264*'Закупки сырья'!C$39</f>
        <v>0</v>
      </c>
      <c r="G264" s="175">
        <f>$D264*$E264*'Закупки сырья'!D$39</f>
        <v>0</v>
      </c>
      <c r="H264" s="175">
        <f>$D264*$E264*'Закупки сырья'!E$39</f>
        <v>0</v>
      </c>
      <c r="I264" s="175">
        <f>$D264*$E264*'Закупки сырья'!F$39</f>
        <v>0</v>
      </c>
      <c r="J264" s="175">
        <f>$D264*$E264*'Закупки сырья'!G$39</f>
        <v>0</v>
      </c>
      <c r="K264" s="175">
        <f>$D264*$E264*'Закупки сырья'!H$39</f>
        <v>0</v>
      </c>
      <c r="L264" s="175">
        <f>$D264*$E264*'Закупки сырья'!I$39</f>
        <v>0</v>
      </c>
      <c r="M264" s="175">
        <f>$D264*$E264*'Закупки сырья'!J$39</f>
        <v>0</v>
      </c>
      <c r="N264" s="175">
        <f>$D264*$E264*'Закупки сырья'!K$39</f>
        <v>0</v>
      </c>
      <c r="O264" s="175">
        <f>$D264*$E264*'Закупки сырья'!L$39</f>
        <v>0</v>
      </c>
      <c r="P264" s="175">
        <f>$D264*$E264*'Закупки сырья'!M$39</f>
        <v>0</v>
      </c>
      <c r="Q264" s="433">
        <f>$D264*$E264*'Закупки сырья'!N$39</f>
        <v>0</v>
      </c>
    </row>
    <row r="265" spans="1:17" ht="10.5">
      <c r="A265" s="174"/>
      <c r="B265" s="16" t="s">
        <v>407</v>
      </c>
      <c r="C265" s="131" t="s">
        <v>375</v>
      </c>
      <c r="D265" s="175">
        <f>SUMIF('Технологическая карта 2 (вспом)'!$C$128:$C$139,B265,'Технологическая карта 2 (вспом)'!$CV$128:$CV$136)</f>
        <v>0</v>
      </c>
      <c r="E265" s="175">
        <f>SUMIF('Закупки сырья'!$A$35:$A$43,B265,'Закупки сырья'!$B$35:$B$43)</f>
        <v>0</v>
      </c>
      <c r="F265" s="175">
        <f>$D265*$E265*'Закупки сырья'!C$40</f>
        <v>0</v>
      </c>
      <c r="G265" s="175">
        <f>$D265*$E265*'Закупки сырья'!D$40</f>
        <v>0</v>
      </c>
      <c r="H265" s="175">
        <f>$D265*$E265*'Закупки сырья'!E$40</f>
        <v>0</v>
      </c>
      <c r="I265" s="175">
        <f>$D265*$E265*'Закупки сырья'!F$40</f>
        <v>0</v>
      </c>
      <c r="J265" s="175">
        <f>$D265*$E265*'Закупки сырья'!G$40</f>
        <v>0</v>
      </c>
      <c r="K265" s="175">
        <f>$D265*$E265*'Закупки сырья'!H$40</f>
        <v>0</v>
      </c>
      <c r="L265" s="175">
        <f>$D265*$E265*'Закупки сырья'!I$40</f>
        <v>0</v>
      </c>
      <c r="M265" s="175">
        <f>$D265*$E265*'Закупки сырья'!J$40</f>
        <v>0</v>
      </c>
      <c r="N265" s="175">
        <f>$D265*$E265*'Закупки сырья'!K$40</f>
        <v>0</v>
      </c>
      <c r="O265" s="175">
        <f>$D265*$E265*'Закупки сырья'!L$40</f>
        <v>0</v>
      </c>
      <c r="P265" s="175">
        <f>$D265*$E265*'Закупки сырья'!M$40</f>
        <v>0</v>
      </c>
      <c r="Q265" s="433">
        <f>$D265*$E265*'Закупки сырья'!N$40</f>
        <v>0</v>
      </c>
    </row>
    <row r="266" spans="1:17" ht="10.5">
      <c r="A266" s="174"/>
      <c r="B266" s="16" t="s">
        <v>408</v>
      </c>
      <c r="C266" s="131" t="s">
        <v>375</v>
      </c>
      <c r="D266" s="175">
        <f>SUMIF('Технологическая карта 2 (вспом)'!$C$128:$C$139,B266,'Технологическая карта 2 (вспом)'!$CV$128:$CV$136)</f>
        <v>0</v>
      </c>
      <c r="E266" s="175">
        <f>SUMIF('Закупки сырья'!$A$35:$A$43,B266,'Закупки сырья'!$B$35:$B$43)</f>
        <v>0</v>
      </c>
      <c r="F266" s="175">
        <f>$D266*$E266*'Закупки сырья'!C$41</f>
        <v>0</v>
      </c>
      <c r="G266" s="175">
        <f>$D266*$E266*'Закупки сырья'!D$41</f>
        <v>0</v>
      </c>
      <c r="H266" s="175">
        <f>$D266*$E266*'Закупки сырья'!E$41</f>
        <v>0</v>
      </c>
      <c r="I266" s="175">
        <f>$D266*$E266*'Закупки сырья'!F$41</f>
        <v>0</v>
      </c>
      <c r="J266" s="175">
        <f>$D266*$E266*'Закупки сырья'!G$41</f>
        <v>0</v>
      </c>
      <c r="K266" s="175">
        <f>$D266*$E266*'Закупки сырья'!H$41</f>
        <v>0</v>
      </c>
      <c r="L266" s="175">
        <f>$D266*$E266*'Закупки сырья'!I$41</f>
        <v>0</v>
      </c>
      <c r="M266" s="175">
        <f>$D266*$E266*'Закупки сырья'!J$41</f>
        <v>0</v>
      </c>
      <c r="N266" s="175">
        <f>$D266*$E266*'Закупки сырья'!K$41</f>
        <v>0</v>
      </c>
      <c r="O266" s="175">
        <f>$D266*$E266*'Закупки сырья'!L$41</f>
        <v>0</v>
      </c>
      <c r="P266" s="175">
        <f>$D266*$E266*'Закупки сырья'!M$41</f>
        <v>0</v>
      </c>
      <c r="Q266" s="433">
        <f>$D266*$E266*'Закупки сырья'!N$41</f>
        <v>0</v>
      </c>
    </row>
    <row r="267" spans="1:17" ht="10.5">
      <c r="A267" s="174"/>
      <c r="B267" s="16" t="s">
        <v>409</v>
      </c>
      <c r="C267" s="131" t="s">
        <v>375</v>
      </c>
      <c r="D267" s="175">
        <f>SUMIF('Технологическая карта 2 (вспом)'!$C$128:$C$139,B267,'Технологическая карта 2 (вспом)'!$CV$128:$CV$136)</f>
        <v>0</v>
      </c>
      <c r="E267" s="175">
        <f>SUMIF('Закупки сырья'!$A$35:$A$43,B267,'Закупки сырья'!$B$35:$B$43)</f>
        <v>0</v>
      </c>
      <c r="F267" s="175">
        <f>$D267*$E267*'Закупки сырья'!C$42</f>
        <v>0</v>
      </c>
      <c r="G267" s="175">
        <f>$D267*$E267*'Закупки сырья'!D$42</f>
        <v>0</v>
      </c>
      <c r="H267" s="175">
        <f>$D267*$E267*'Закупки сырья'!E$42</f>
        <v>0</v>
      </c>
      <c r="I267" s="175">
        <f>$D267*$E267*'Закупки сырья'!F$42</f>
        <v>0</v>
      </c>
      <c r="J267" s="175">
        <f>$D267*$E267*'Закупки сырья'!G$42</f>
        <v>0</v>
      </c>
      <c r="K267" s="175">
        <f>$D267*$E267*'Закупки сырья'!H$42</f>
        <v>0</v>
      </c>
      <c r="L267" s="175">
        <f>$D267*$E267*'Закупки сырья'!I$42</f>
        <v>0</v>
      </c>
      <c r="M267" s="175">
        <f>$D267*$E267*'Закупки сырья'!J$42</f>
        <v>0</v>
      </c>
      <c r="N267" s="175">
        <f>$D267*$E267*'Закупки сырья'!K$42</f>
        <v>0</v>
      </c>
      <c r="O267" s="175">
        <f>$D267*$E267*'Закупки сырья'!L$42</f>
        <v>0</v>
      </c>
      <c r="P267" s="175">
        <f>$D267*$E267*'Закупки сырья'!M$42</f>
        <v>0</v>
      </c>
      <c r="Q267" s="433">
        <f>$D267*$E267*'Закупки сырья'!N$42</f>
        <v>0</v>
      </c>
    </row>
    <row r="268" spans="1:17" ht="10.5">
      <c r="A268" s="174"/>
      <c r="B268" s="16" t="s">
        <v>410</v>
      </c>
      <c r="C268" s="131" t="s">
        <v>375</v>
      </c>
      <c r="D268" s="175">
        <f>SUMIF('Технологическая карта 2 (вспом)'!$C$128:$C$139,B268,'Технологическая карта 2 (вспом)'!$CV$128:$CV$136)</f>
        <v>0</v>
      </c>
      <c r="E268" s="175">
        <f>SUMIF('Закупки сырья'!$A$35:$A$43,B268,'Закупки сырья'!$B$35:$B$43)</f>
        <v>0</v>
      </c>
      <c r="F268" s="175">
        <f>$D268*$E268*'Закупки сырья'!C$43</f>
        <v>0</v>
      </c>
      <c r="G268" s="175">
        <f>$D268*$E268*'Закупки сырья'!D$43</f>
        <v>0</v>
      </c>
      <c r="H268" s="175">
        <f>$D268*$E268*'Закупки сырья'!E$43</f>
        <v>0</v>
      </c>
      <c r="I268" s="175">
        <f>$D268*$E268*'Закупки сырья'!F$43</f>
        <v>0</v>
      </c>
      <c r="J268" s="175">
        <f>$D268*$E268*'Закупки сырья'!G$43</f>
        <v>0</v>
      </c>
      <c r="K268" s="175">
        <f>$D268*$E268*'Закупки сырья'!H$43</f>
        <v>0</v>
      </c>
      <c r="L268" s="175">
        <f>$D268*$E268*'Закупки сырья'!I$43</f>
        <v>0</v>
      </c>
      <c r="M268" s="175">
        <f>$D268*$E268*'Закупки сырья'!J$43</f>
        <v>0</v>
      </c>
      <c r="N268" s="175">
        <f>$D268*$E268*'Закупки сырья'!K$43</f>
        <v>0</v>
      </c>
      <c r="O268" s="175">
        <f>$D268*$E268*'Закупки сырья'!L$43</f>
        <v>0</v>
      </c>
      <c r="P268" s="175">
        <f>$D268*$E268*'Закупки сырья'!M$43</f>
        <v>0</v>
      </c>
      <c r="Q268" s="433">
        <f>$D268*$E268*'Закупки сырья'!N$43</f>
        <v>0</v>
      </c>
    </row>
    <row r="269" spans="1:19" ht="10.5">
      <c r="A269" s="174"/>
      <c r="B269" s="162" t="s">
        <v>64</v>
      </c>
      <c r="C269" s="131"/>
      <c r="D269" s="324" t="s">
        <v>342</v>
      </c>
      <c r="E269" s="324" t="s">
        <v>342</v>
      </c>
      <c r="F269" s="324" t="s">
        <v>342</v>
      </c>
      <c r="G269" s="324" t="s">
        <v>342</v>
      </c>
      <c r="H269" s="324" t="s">
        <v>342</v>
      </c>
      <c r="I269" s="324" t="s">
        <v>342</v>
      </c>
      <c r="J269" s="324" t="s">
        <v>342</v>
      </c>
      <c r="K269" s="324" t="s">
        <v>342</v>
      </c>
      <c r="L269" s="324" t="s">
        <v>342</v>
      </c>
      <c r="M269" s="324" t="s">
        <v>342</v>
      </c>
      <c r="N269" s="324" t="s">
        <v>342</v>
      </c>
      <c r="O269" s="324" t="s">
        <v>342</v>
      </c>
      <c r="P269" s="324" t="s">
        <v>342</v>
      </c>
      <c r="Q269" s="325" t="s">
        <v>342</v>
      </c>
      <c r="R269" s="45"/>
      <c r="S269" s="45"/>
    </row>
    <row r="270" spans="1:17" ht="10.5">
      <c r="A270" s="182" t="str">
        <f>D259</f>
        <v>Продукт 14</v>
      </c>
      <c r="B270" s="183"/>
      <c r="C270" s="184"/>
      <c r="D270" s="185"/>
      <c r="E270" s="185"/>
      <c r="F270" s="186">
        <f aca="true" t="shared" si="46" ref="F270:Q270">SUM(F260:F269)</f>
        <v>0</v>
      </c>
      <c r="G270" s="186">
        <f t="shared" si="46"/>
        <v>0</v>
      </c>
      <c r="H270" s="186">
        <f t="shared" si="46"/>
        <v>0</v>
      </c>
      <c r="I270" s="186">
        <f t="shared" si="46"/>
        <v>0</v>
      </c>
      <c r="J270" s="186">
        <f t="shared" si="46"/>
        <v>0</v>
      </c>
      <c r="K270" s="186">
        <f t="shared" si="46"/>
        <v>0</v>
      </c>
      <c r="L270" s="186">
        <f t="shared" si="46"/>
        <v>0</v>
      </c>
      <c r="M270" s="186">
        <f t="shared" si="46"/>
        <v>0</v>
      </c>
      <c r="N270" s="186">
        <f t="shared" si="46"/>
        <v>0</v>
      </c>
      <c r="O270" s="186">
        <f t="shared" si="46"/>
        <v>0</v>
      </c>
      <c r="P270" s="186">
        <f t="shared" si="46"/>
        <v>0</v>
      </c>
      <c r="Q270" s="437">
        <f t="shared" si="46"/>
        <v>0</v>
      </c>
    </row>
    <row r="271" ht="11.25" thickBot="1"/>
    <row r="272" spans="1:17" ht="21">
      <c r="A272" s="80" t="s">
        <v>0</v>
      </c>
      <c r="B272" s="55" t="s">
        <v>90</v>
      </c>
      <c r="C272" s="171" t="s">
        <v>269</v>
      </c>
      <c r="D272" s="172" t="str">
        <f>VLOOKUP(C272,Классификаторы!$A$71:$B$92,2,0)</f>
        <v>Продукт 15</v>
      </c>
      <c r="E272" s="173" t="s">
        <v>94</v>
      </c>
      <c r="F272" s="173">
        <v>39448</v>
      </c>
      <c r="G272" s="173">
        <v>39479</v>
      </c>
      <c r="H272" s="173">
        <v>39508</v>
      </c>
      <c r="I272" s="173">
        <v>39539</v>
      </c>
      <c r="J272" s="173">
        <v>39569</v>
      </c>
      <c r="K272" s="173">
        <v>39600</v>
      </c>
      <c r="L272" s="173">
        <v>39630</v>
      </c>
      <c r="M272" s="173">
        <v>39661</v>
      </c>
      <c r="N272" s="173">
        <v>39692</v>
      </c>
      <c r="O272" s="173">
        <v>39722</v>
      </c>
      <c r="P272" s="173">
        <v>39753</v>
      </c>
      <c r="Q272" s="173">
        <v>39783</v>
      </c>
    </row>
    <row r="273" spans="1:17" ht="10.5">
      <c r="A273" s="242"/>
      <c r="B273" s="16" t="s">
        <v>402</v>
      </c>
      <c r="C273" s="131" t="s">
        <v>375</v>
      </c>
      <c r="D273" s="431">
        <f>SUMIF('Технологическая карта 2 (вспом)'!$C$128:$C$139,B273,'Технологическая карта 2 (вспом)'!$DL$128:$DL$136)</f>
        <v>0</v>
      </c>
      <c r="E273" s="431">
        <f>SUMIF('Закупки сырья'!$A$35:$A$43,B273,'Закупки сырья'!$B$35:$B$43)</f>
        <v>0</v>
      </c>
      <c r="F273" s="431">
        <f>$D273*$E273*'Закупки сырья'!C$35</f>
        <v>0</v>
      </c>
      <c r="G273" s="431">
        <f>$D273*$E273*'Закупки сырья'!D$35</f>
        <v>0</v>
      </c>
      <c r="H273" s="431">
        <f>$D273*$E273*'Закупки сырья'!E$35</f>
        <v>0</v>
      </c>
      <c r="I273" s="431">
        <f>$D273*$E273*'Закупки сырья'!F$35</f>
        <v>0</v>
      </c>
      <c r="J273" s="431">
        <f>$D273*$E273*'Закупки сырья'!G$35</f>
        <v>0</v>
      </c>
      <c r="K273" s="431">
        <f>$D273*$E273*'Закупки сырья'!H$35</f>
        <v>0</v>
      </c>
      <c r="L273" s="431">
        <f>$D273*$E273*'Закупки сырья'!I$35</f>
        <v>0</v>
      </c>
      <c r="M273" s="431">
        <f>$D273*$E273*'Закупки сырья'!J$35</f>
        <v>0</v>
      </c>
      <c r="N273" s="431">
        <f>$D273*$E273*'Закупки сырья'!K$35</f>
        <v>0</v>
      </c>
      <c r="O273" s="431">
        <f>$D273*$E273*'Закупки сырья'!L$35</f>
        <v>0</v>
      </c>
      <c r="P273" s="431">
        <f>$D273*$E273*'Закупки сырья'!M$35</f>
        <v>0</v>
      </c>
      <c r="Q273" s="432">
        <f>$D273*$E273*'Закупки сырья'!N$35</f>
        <v>0</v>
      </c>
    </row>
    <row r="274" spans="1:17" ht="10.5">
      <c r="A274" s="174"/>
      <c r="B274" s="16" t="s">
        <v>403</v>
      </c>
      <c r="C274" s="131" t="s">
        <v>375</v>
      </c>
      <c r="D274" s="175">
        <f>SUMIF('Технологическая карта 2 (вспом)'!$C$128:$C$139,B274,'Технологическая карта 2 (вспом)'!$DL$128:$DL$136)</f>
        <v>0</v>
      </c>
      <c r="E274" s="175">
        <f>SUMIF('Закупки сырья'!$A$35:$A$43,B274,'Закупки сырья'!$B$35:$B$43)</f>
        <v>0</v>
      </c>
      <c r="F274" s="175">
        <f>$D274*$E274*'Закупки сырья'!C$36</f>
        <v>0</v>
      </c>
      <c r="G274" s="175">
        <f>$D274*$E274*'Закупки сырья'!D$36</f>
        <v>0</v>
      </c>
      <c r="H274" s="175">
        <f>$D274*$E274*'Закупки сырья'!E$36</f>
        <v>0</v>
      </c>
      <c r="I274" s="175">
        <f>$D274*$E274*'Закупки сырья'!F$36</f>
        <v>0</v>
      </c>
      <c r="J274" s="175">
        <f>$D274*$E274*'Закупки сырья'!G$36</f>
        <v>0</v>
      </c>
      <c r="K274" s="175">
        <f>$D274*$E274*'Закупки сырья'!H$36</f>
        <v>0</v>
      </c>
      <c r="L274" s="175">
        <f>$D274*$E274*'Закупки сырья'!I$36</f>
        <v>0</v>
      </c>
      <c r="M274" s="175">
        <f>$D274*$E274*'Закупки сырья'!J$36</f>
        <v>0</v>
      </c>
      <c r="N274" s="175">
        <f>$D274*$E274*'Закупки сырья'!K$36</f>
        <v>0</v>
      </c>
      <c r="O274" s="175">
        <f>$D274*$E274*'Закупки сырья'!L$36</f>
        <v>0</v>
      </c>
      <c r="P274" s="175">
        <f>$D274*$E274*'Закупки сырья'!M$36</f>
        <v>0</v>
      </c>
      <c r="Q274" s="433">
        <f>$D274*$E274*'Закупки сырья'!N$36</f>
        <v>0</v>
      </c>
    </row>
    <row r="275" spans="1:17" ht="10.5">
      <c r="A275" s="174"/>
      <c r="B275" s="16" t="s">
        <v>404</v>
      </c>
      <c r="C275" s="131" t="s">
        <v>375</v>
      </c>
      <c r="D275" s="175">
        <f>SUMIF('Технологическая карта 2 (вспом)'!$C$128:$C$139,B275,'Технологическая карта 2 (вспом)'!$DL$128:$DL$136)</f>
        <v>0</v>
      </c>
      <c r="E275" s="175">
        <f>SUMIF('Закупки сырья'!$A$35:$A$43,B275,'Закупки сырья'!$B$35:$B$43)</f>
        <v>0</v>
      </c>
      <c r="F275" s="175">
        <f>$D275*$E275*'Закупки сырья'!C$37</f>
        <v>0</v>
      </c>
      <c r="G275" s="175">
        <f>$D275*$E275*'Закупки сырья'!D$37</f>
        <v>0</v>
      </c>
      <c r="H275" s="175">
        <f>$D275*$E275*'Закупки сырья'!E$37</f>
        <v>0</v>
      </c>
      <c r="I275" s="175">
        <f>$D275*$E275*'Закупки сырья'!F$37</f>
        <v>0</v>
      </c>
      <c r="J275" s="175">
        <f>$D275*$E275*'Закупки сырья'!G$37</f>
        <v>0</v>
      </c>
      <c r="K275" s="175">
        <f>$D275*$E275*'Закупки сырья'!H$37</f>
        <v>0</v>
      </c>
      <c r="L275" s="175">
        <f>$D275*$E275*'Закупки сырья'!I$37</f>
        <v>0</v>
      </c>
      <c r="M275" s="175">
        <f>$D275*$E275*'Закупки сырья'!J$37</f>
        <v>0</v>
      </c>
      <c r="N275" s="175">
        <f>$D275*$E275*'Закупки сырья'!K$37</f>
        <v>0</v>
      </c>
      <c r="O275" s="175">
        <f>$D275*$E275*'Закупки сырья'!L$37</f>
        <v>0</v>
      </c>
      <c r="P275" s="175">
        <f>$D275*$E275*'Закупки сырья'!M$37</f>
        <v>0</v>
      </c>
      <c r="Q275" s="433">
        <f>$D275*$E275*'Закупки сырья'!N$37</f>
        <v>0</v>
      </c>
    </row>
    <row r="276" spans="1:17" ht="10.5">
      <c r="A276" s="174"/>
      <c r="B276" s="16" t="s">
        <v>405</v>
      </c>
      <c r="C276" s="131" t="s">
        <v>375</v>
      </c>
      <c r="D276" s="175">
        <f>SUMIF('Технологическая карта 2 (вспом)'!$C$128:$C$139,B276,'Технологическая карта 2 (вспом)'!$DL$128:$DL$136)</f>
        <v>0</v>
      </c>
      <c r="E276" s="175">
        <f>SUMIF('Закупки сырья'!$A$35:$A$43,B276,'Закупки сырья'!$B$35:$B$43)</f>
        <v>0</v>
      </c>
      <c r="F276" s="175">
        <f>$D276*$E276*'Закупки сырья'!C$38</f>
        <v>0</v>
      </c>
      <c r="G276" s="175">
        <f>$D276*$E276*'Закупки сырья'!D$38</f>
        <v>0</v>
      </c>
      <c r="H276" s="175">
        <f>$D276*$E276*'Закупки сырья'!E$38</f>
        <v>0</v>
      </c>
      <c r="I276" s="175">
        <f>$D276*$E276*'Закупки сырья'!F$38</f>
        <v>0</v>
      </c>
      <c r="J276" s="175">
        <f>$D276*$E276*'Закупки сырья'!G$38</f>
        <v>0</v>
      </c>
      <c r="K276" s="175">
        <f>$D276*$E276*'Закупки сырья'!H$38</f>
        <v>0</v>
      </c>
      <c r="L276" s="175">
        <f>$D276*$E276*'Закупки сырья'!I$38</f>
        <v>0</v>
      </c>
      <c r="M276" s="175">
        <f>$D276*$E276*'Закупки сырья'!J$38</f>
        <v>0</v>
      </c>
      <c r="N276" s="175">
        <f>$D276*$E276*'Закупки сырья'!K$38</f>
        <v>0</v>
      </c>
      <c r="O276" s="175">
        <f>$D276*$E276*'Закупки сырья'!L$38</f>
        <v>0</v>
      </c>
      <c r="P276" s="175">
        <f>$D276*$E276*'Закупки сырья'!M$38</f>
        <v>0</v>
      </c>
      <c r="Q276" s="433">
        <f>$D276*$E276*'Закупки сырья'!N$38</f>
        <v>0</v>
      </c>
    </row>
    <row r="277" spans="1:17" ht="10.5">
      <c r="A277" s="174"/>
      <c r="B277" s="16" t="s">
        <v>406</v>
      </c>
      <c r="C277" s="131" t="s">
        <v>375</v>
      </c>
      <c r="D277" s="175">
        <f>SUMIF('Технологическая карта 2 (вспом)'!$C$128:$C$139,B277,'Технологическая карта 2 (вспом)'!$DL$128:$DL$136)</f>
        <v>0</v>
      </c>
      <c r="E277" s="175">
        <f>SUMIF('Закупки сырья'!$A$35:$A$43,B277,'Закупки сырья'!$B$35:$B$43)</f>
        <v>0</v>
      </c>
      <c r="F277" s="175">
        <f>$D277*$E277*'Закупки сырья'!C$39</f>
        <v>0</v>
      </c>
      <c r="G277" s="175">
        <f>$D277*$E277*'Закупки сырья'!D$39</f>
        <v>0</v>
      </c>
      <c r="H277" s="175">
        <f>$D277*$E277*'Закупки сырья'!E$39</f>
        <v>0</v>
      </c>
      <c r="I277" s="175">
        <f>$D277*$E277*'Закупки сырья'!F$39</f>
        <v>0</v>
      </c>
      <c r="J277" s="175">
        <f>$D277*$E277*'Закупки сырья'!G$39</f>
        <v>0</v>
      </c>
      <c r="K277" s="175">
        <f>$D277*$E277*'Закупки сырья'!H$39</f>
        <v>0</v>
      </c>
      <c r="L277" s="175">
        <f>$D277*$E277*'Закупки сырья'!I$39</f>
        <v>0</v>
      </c>
      <c r="M277" s="175">
        <f>$D277*$E277*'Закупки сырья'!J$39</f>
        <v>0</v>
      </c>
      <c r="N277" s="175">
        <f>$D277*$E277*'Закупки сырья'!K$39</f>
        <v>0</v>
      </c>
      <c r="O277" s="175">
        <f>$D277*$E277*'Закупки сырья'!L$39</f>
        <v>0</v>
      </c>
      <c r="P277" s="175">
        <f>$D277*$E277*'Закупки сырья'!M$39</f>
        <v>0</v>
      </c>
      <c r="Q277" s="433">
        <f>$D277*$E277*'Закупки сырья'!N$39</f>
        <v>0</v>
      </c>
    </row>
    <row r="278" spans="1:17" ht="10.5">
      <c r="A278" s="174"/>
      <c r="B278" s="16" t="s">
        <v>407</v>
      </c>
      <c r="C278" s="131" t="s">
        <v>375</v>
      </c>
      <c r="D278" s="175">
        <f>SUMIF('Технологическая карта 2 (вспом)'!$C$128:$C$139,B278,'Технологическая карта 2 (вспом)'!$DL$128:$DL$136)</f>
        <v>0</v>
      </c>
      <c r="E278" s="175">
        <f>SUMIF('Закупки сырья'!$A$35:$A$43,B278,'Закупки сырья'!$B$35:$B$43)</f>
        <v>0</v>
      </c>
      <c r="F278" s="175">
        <f>$D278*$E278*'Закупки сырья'!C$40</f>
        <v>0</v>
      </c>
      <c r="G278" s="175">
        <f>$D278*$E278*'Закупки сырья'!D$40</f>
        <v>0</v>
      </c>
      <c r="H278" s="175">
        <f>$D278*$E278*'Закупки сырья'!E$40</f>
        <v>0</v>
      </c>
      <c r="I278" s="175">
        <f>$D278*$E278*'Закупки сырья'!F$40</f>
        <v>0</v>
      </c>
      <c r="J278" s="175">
        <f>$D278*$E278*'Закупки сырья'!G$40</f>
        <v>0</v>
      </c>
      <c r="K278" s="175">
        <f>$D278*$E278*'Закупки сырья'!H$40</f>
        <v>0</v>
      </c>
      <c r="L278" s="175">
        <f>$D278*$E278*'Закупки сырья'!I$40</f>
        <v>0</v>
      </c>
      <c r="M278" s="175">
        <f>$D278*$E278*'Закупки сырья'!J$40</f>
        <v>0</v>
      </c>
      <c r="N278" s="175">
        <f>$D278*$E278*'Закупки сырья'!K$40</f>
        <v>0</v>
      </c>
      <c r="O278" s="175">
        <f>$D278*$E278*'Закупки сырья'!L$40</f>
        <v>0</v>
      </c>
      <c r="P278" s="175">
        <f>$D278*$E278*'Закупки сырья'!M$40</f>
        <v>0</v>
      </c>
      <c r="Q278" s="433">
        <f>$D278*$E278*'Закупки сырья'!N$40</f>
        <v>0</v>
      </c>
    </row>
    <row r="279" spans="1:17" ht="10.5">
      <c r="A279" s="174"/>
      <c r="B279" s="16" t="s">
        <v>408</v>
      </c>
      <c r="C279" s="131" t="s">
        <v>375</v>
      </c>
      <c r="D279" s="175">
        <f>SUMIF('Технологическая карта 2 (вспом)'!$C$128:$C$139,B279,'Технологическая карта 2 (вспом)'!$DL$128:$DL$136)</f>
        <v>0</v>
      </c>
      <c r="E279" s="175">
        <f>SUMIF('Закупки сырья'!$A$35:$A$43,B279,'Закупки сырья'!$B$35:$B$43)</f>
        <v>0</v>
      </c>
      <c r="F279" s="175">
        <f>$D279*$E279*'Закупки сырья'!C$41</f>
        <v>0</v>
      </c>
      <c r="G279" s="175">
        <f>$D279*$E279*'Закупки сырья'!D$41</f>
        <v>0</v>
      </c>
      <c r="H279" s="175">
        <f>$D279*$E279*'Закупки сырья'!E$41</f>
        <v>0</v>
      </c>
      <c r="I279" s="175">
        <f>$D279*$E279*'Закупки сырья'!F$41</f>
        <v>0</v>
      </c>
      <c r="J279" s="175">
        <f>$D279*$E279*'Закупки сырья'!G$41</f>
        <v>0</v>
      </c>
      <c r="K279" s="175">
        <f>$D279*$E279*'Закупки сырья'!H$41</f>
        <v>0</v>
      </c>
      <c r="L279" s="175">
        <f>$D279*$E279*'Закупки сырья'!I$41</f>
        <v>0</v>
      </c>
      <c r="M279" s="175">
        <f>$D279*$E279*'Закупки сырья'!J$41</f>
        <v>0</v>
      </c>
      <c r="N279" s="175">
        <f>$D279*$E279*'Закупки сырья'!K$41</f>
        <v>0</v>
      </c>
      <c r="O279" s="175">
        <f>$D279*$E279*'Закупки сырья'!L$41</f>
        <v>0</v>
      </c>
      <c r="P279" s="175">
        <f>$D279*$E279*'Закупки сырья'!M$41</f>
        <v>0</v>
      </c>
      <c r="Q279" s="433">
        <f>$D279*$E279*'Закупки сырья'!N$41</f>
        <v>0</v>
      </c>
    </row>
    <row r="280" spans="1:17" ht="10.5">
      <c r="A280" s="174"/>
      <c r="B280" s="16" t="s">
        <v>409</v>
      </c>
      <c r="C280" s="131" t="s">
        <v>375</v>
      </c>
      <c r="D280" s="175">
        <f>SUMIF('Технологическая карта 2 (вспом)'!$C$128:$C$139,B280,'Технологическая карта 2 (вспом)'!$DL$128:$DL$136)</f>
        <v>0</v>
      </c>
      <c r="E280" s="175">
        <f>SUMIF('Закупки сырья'!$A$35:$A$43,B280,'Закупки сырья'!$B$35:$B$43)</f>
        <v>0</v>
      </c>
      <c r="F280" s="175">
        <f>$D280*$E280*'Закупки сырья'!C$42</f>
        <v>0</v>
      </c>
      <c r="G280" s="175">
        <f>$D280*$E280*'Закупки сырья'!D$42</f>
        <v>0</v>
      </c>
      <c r="H280" s="175">
        <f>$D280*$E280*'Закупки сырья'!E$42</f>
        <v>0</v>
      </c>
      <c r="I280" s="175">
        <f>$D280*$E280*'Закупки сырья'!F$42</f>
        <v>0</v>
      </c>
      <c r="J280" s="175">
        <f>$D280*$E280*'Закупки сырья'!G$42</f>
        <v>0</v>
      </c>
      <c r="K280" s="175">
        <f>$D280*$E280*'Закупки сырья'!H$42</f>
        <v>0</v>
      </c>
      <c r="L280" s="175">
        <f>$D280*$E280*'Закупки сырья'!I$42</f>
        <v>0</v>
      </c>
      <c r="M280" s="175">
        <f>$D280*$E280*'Закупки сырья'!J$42</f>
        <v>0</v>
      </c>
      <c r="N280" s="175">
        <f>$D280*$E280*'Закупки сырья'!K$42</f>
        <v>0</v>
      </c>
      <c r="O280" s="175">
        <f>$D280*$E280*'Закупки сырья'!L$42</f>
        <v>0</v>
      </c>
      <c r="P280" s="175">
        <f>$D280*$E280*'Закупки сырья'!M$42</f>
        <v>0</v>
      </c>
      <c r="Q280" s="433">
        <f>$D280*$E280*'Закупки сырья'!N$42</f>
        <v>0</v>
      </c>
    </row>
    <row r="281" spans="1:17" ht="10.5">
      <c r="A281" s="174"/>
      <c r="B281" s="16" t="s">
        <v>410</v>
      </c>
      <c r="C281" s="131" t="s">
        <v>375</v>
      </c>
      <c r="D281" s="175">
        <f>SUMIF('Технологическая карта 2 (вспом)'!$C$128:$C$139,B281,'Технологическая карта 2 (вспом)'!$DL$128:$DL$136)</f>
        <v>0</v>
      </c>
      <c r="E281" s="175">
        <f>SUMIF('Закупки сырья'!$A$35:$A$43,B281,'Закупки сырья'!$B$35:$B$43)</f>
        <v>0</v>
      </c>
      <c r="F281" s="175">
        <f>$D281*$E281*'Закупки сырья'!C$43</f>
        <v>0</v>
      </c>
      <c r="G281" s="175">
        <f>$D281*$E281*'Закупки сырья'!D$43</f>
        <v>0</v>
      </c>
      <c r="H281" s="175">
        <f>$D281*$E281*'Закупки сырья'!E$43</f>
        <v>0</v>
      </c>
      <c r="I281" s="175">
        <f>$D281*$E281*'Закупки сырья'!F$43</f>
        <v>0</v>
      </c>
      <c r="J281" s="175">
        <f>$D281*$E281*'Закупки сырья'!G$43</f>
        <v>0</v>
      </c>
      <c r="K281" s="175">
        <f>$D281*$E281*'Закупки сырья'!H$43</f>
        <v>0</v>
      </c>
      <c r="L281" s="175">
        <f>$D281*$E281*'Закупки сырья'!I$43</f>
        <v>0</v>
      </c>
      <c r="M281" s="175">
        <f>$D281*$E281*'Закупки сырья'!J$43</f>
        <v>0</v>
      </c>
      <c r="N281" s="175">
        <f>$D281*$E281*'Закупки сырья'!K$43</f>
        <v>0</v>
      </c>
      <c r="O281" s="175">
        <f>$D281*$E281*'Закупки сырья'!L$43</f>
        <v>0</v>
      </c>
      <c r="P281" s="175">
        <f>$D281*$E281*'Закупки сырья'!M$43</f>
        <v>0</v>
      </c>
      <c r="Q281" s="433">
        <f>$D281*$E281*'Закупки сырья'!N$43</f>
        <v>0</v>
      </c>
    </row>
    <row r="282" spans="1:19" ht="10.5">
      <c r="A282" s="174"/>
      <c r="B282" s="162" t="s">
        <v>64</v>
      </c>
      <c r="C282" s="131"/>
      <c r="D282" s="324" t="s">
        <v>342</v>
      </c>
      <c r="E282" s="324" t="s">
        <v>342</v>
      </c>
      <c r="F282" s="324" t="s">
        <v>342</v>
      </c>
      <c r="G282" s="324" t="s">
        <v>342</v>
      </c>
      <c r="H282" s="324" t="s">
        <v>342</v>
      </c>
      <c r="I282" s="324" t="s">
        <v>342</v>
      </c>
      <c r="J282" s="324" t="s">
        <v>342</v>
      </c>
      <c r="K282" s="324" t="s">
        <v>342</v>
      </c>
      <c r="L282" s="324" t="s">
        <v>342</v>
      </c>
      <c r="M282" s="324" t="s">
        <v>342</v>
      </c>
      <c r="N282" s="324" t="s">
        <v>342</v>
      </c>
      <c r="O282" s="324" t="s">
        <v>342</v>
      </c>
      <c r="P282" s="324" t="s">
        <v>342</v>
      </c>
      <c r="Q282" s="325" t="s">
        <v>342</v>
      </c>
      <c r="R282" s="45"/>
      <c r="S282" s="45"/>
    </row>
    <row r="283" spans="1:17" ht="10.5">
      <c r="A283" s="182" t="str">
        <f>D272</f>
        <v>Продукт 15</v>
      </c>
      <c r="B283" s="183"/>
      <c r="C283" s="184"/>
      <c r="D283" s="185"/>
      <c r="E283" s="185"/>
      <c r="F283" s="186">
        <f aca="true" t="shared" si="47" ref="F283:Q283">SUM(F273:F282)</f>
        <v>0</v>
      </c>
      <c r="G283" s="186">
        <f t="shared" si="47"/>
        <v>0</v>
      </c>
      <c r="H283" s="186">
        <f t="shared" si="47"/>
        <v>0</v>
      </c>
      <c r="I283" s="186">
        <f t="shared" si="47"/>
        <v>0</v>
      </c>
      <c r="J283" s="186">
        <f t="shared" si="47"/>
        <v>0</v>
      </c>
      <c r="K283" s="186">
        <f t="shared" si="47"/>
        <v>0</v>
      </c>
      <c r="L283" s="186">
        <f t="shared" si="47"/>
        <v>0</v>
      </c>
      <c r="M283" s="186">
        <f t="shared" si="47"/>
        <v>0</v>
      </c>
      <c r="N283" s="186">
        <f t="shared" si="47"/>
        <v>0</v>
      </c>
      <c r="O283" s="186">
        <f t="shared" si="47"/>
        <v>0</v>
      </c>
      <c r="P283" s="186">
        <f t="shared" si="47"/>
        <v>0</v>
      </c>
      <c r="Q283" s="437">
        <f t="shared" si="47"/>
        <v>0</v>
      </c>
    </row>
  </sheetData>
  <printOptions/>
  <pageMargins left="0.75" right="0.75" top="0.68" bottom="1.31" header="0.5" footer="0.5"/>
  <pageSetup fitToHeight="5" fitToWidth="1" horizontalDpi="300" verticalDpi="300" orientation="landscape" paperSize="9" scale="62" r:id="rId2"/>
  <headerFooter alignWithMargins="0">
    <oddHeader>&amp;LФинансовая бюджетная модель (производство)</oddHeader>
    <oddFooter>&amp;LСтраница &amp;P&amp;C&amp;G</oddFooter>
  </headerFooter>
  <rowBreaks count="2" manualBreakCount="2">
    <brk id="45" max="255" man="1"/>
    <brk id="87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Q49"/>
  <sheetViews>
    <sheetView view="pageBreakPreview" zoomScale="85" zoomScaleSheetLayoutView="85" workbookViewId="0" topLeftCell="A1">
      <pane ySplit="1" topLeftCell="BM3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35" customWidth="1"/>
    <col min="2" max="2" width="20.00390625" style="35" bestFit="1" customWidth="1"/>
    <col min="3" max="3" width="25.875" style="163" customWidth="1"/>
    <col min="4" max="4" width="10.625" style="27" bestFit="1" customWidth="1"/>
    <col min="5" max="15" width="11.25390625" style="27" bestFit="1" customWidth="1"/>
    <col min="16" max="16" width="11.25390625" style="34" bestFit="1" customWidth="1"/>
    <col min="17" max="17" width="12.375" style="27" bestFit="1" customWidth="1"/>
    <col min="18" max="16384" width="9.125" style="27" customWidth="1"/>
  </cols>
  <sheetData>
    <row r="1" spans="1:3" ht="18">
      <c r="A1" s="609"/>
      <c r="C1" s="96" t="s">
        <v>164</v>
      </c>
    </row>
    <row r="3" spans="1:16" ht="13.5" thickBot="1">
      <c r="A3" s="77" t="s">
        <v>275</v>
      </c>
      <c r="B3" s="89"/>
      <c r="C3" s="27"/>
      <c r="E3" s="47"/>
      <c r="F3" s="47"/>
      <c r="G3" s="47"/>
      <c r="H3" s="47"/>
      <c r="I3" s="47"/>
      <c r="J3" s="47"/>
      <c r="K3" s="47"/>
      <c r="L3" s="47"/>
      <c r="M3" s="47"/>
      <c r="N3" s="47"/>
      <c r="O3" s="100"/>
      <c r="P3" s="27"/>
    </row>
    <row r="4" spans="1:16" ht="31.5">
      <c r="A4" s="55" t="s">
        <v>0</v>
      </c>
      <c r="B4" s="55" t="s">
        <v>159</v>
      </c>
      <c r="C4" s="55" t="s">
        <v>66</v>
      </c>
      <c r="D4" s="55" t="s">
        <v>331</v>
      </c>
      <c r="E4" s="187">
        <v>39448</v>
      </c>
      <c r="F4" s="187">
        <v>39479</v>
      </c>
      <c r="G4" s="187">
        <v>39508</v>
      </c>
      <c r="H4" s="187">
        <v>39539</v>
      </c>
      <c r="I4" s="187">
        <v>39569</v>
      </c>
      <c r="J4" s="187">
        <v>39600</v>
      </c>
      <c r="K4" s="187">
        <v>39630</v>
      </c>
      <c r="L4" s="187">
        <v>39661</v>
      </c>
      <c r="M4" s="187">
        <v>39692</v>
      </c>
      <c r="N4" s="187">
        <v>39722</v>
      </c>
      <c r="O4" s="187">
        <v>39753</v>
      </c>
      <c r="P4" s="187">
        <v>39783</v>
      </c>
    </row>
    <row r="5" spans="1:16" ht="10.5">
      <c r="A5" s="125" t="s">
        <v>26</v>
      </c>
      <c r="B5" s="126" t="str">
        <f>VLOOKUP(A5,Классификаторы!$A:$B,2,FALSE)</f>
        <v>Цех 1</v>
      </c>
      <c r="C5" s="442" t="s">
        <v>411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4"/>
    </row>
    <row r="6" spans="1:16" ht="10.5">
      <c r="A6" s="81"/>
      <c r="B6" s="189" t="s">
        <v>64</v>
      </c>
      <c r="C6" s="444" t="s">
        <v>342</v>
      </c>
      <c r="D6" s="444" t="s">
        <v>342</v>
      </c>
      <c r="E6" s="444" t="s">
        <v>342</v>
      </c>
      <c r="F6" s="444" t="s">
        <v>342</v>
      </c>
      <c r="G6" s="444" t="s">
        <v>342</v>
      </c>
      <c r="H6" s="444" t="s">
        <v>342</v>
      </c>
      <c r="I6" s="444" t="s">
        <v>342</v>
      </c>
      <c r="J6" s="444" t="s">
        <v>342</v>
      </c>
      <c r="K6" s="444" t="s">
        <v>342</v>
      </c>
      <c r="L6" s="444" t="s">
        <v>342</v>
      </c>
      <c r="M6" s="444" t="s">
        <v>342</v>
      </c>
      <c r="N6" s="444" t="s">
        <v>342</v>
      </c>
      <c r="O6" s="444" t="s">
        <v>342</v>
      </c>
      <c r="P6" s="445" t="s">
        <v>342</v>
      </c>
    </row>
    <row r="7" spans="1:16" ht="10.5">
      <c r="A7" s="81" t="s">
        <v>27</v>
      </c>
      <c r="B7" s="82" t="str">
        <f>VLOOKUP(A7,Классификаторы!$A:$B,2,FALSE)</f>
        <v>Цех 2</v>
      </c>
      <c r="C7" s="115" t="s">
        <v>412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255"/>
    </row>
    <row r="8" spans="1:16" ht="10.5">
      <c r="A8" s="81"/>
      <c r="B8" s="189" t="s">
        <v>64</v>
      </c>
      <c r="C8" s="444" t="s">
        <v>342</v>
      </c>
      <c r="D8" s="311" t="s">
        <v>342</v>
      </c>
      <c r="E8" s="311" t="s">
        <v>342</v>
      </c>
      <c r="F8" s="311" t="s">
        <v>342</v>
      </c>
      <c r="G8" s="311" t="s">
        <v>342</v>
      </c>
      <c r="H8" s="311" t="s">
        <v>342</v>
      </c>
      <c r="I8" s="311" t="s">
        <v>342</v>
      </c>
      <c r="J8" s="311" t="s">
        <v>342</v>
      </c>
      <c r="K8" s="311" t="s">
        <v>342</v>
      </c>
      <c r="L8" s="311" t="s">
        <v>342</v>
      </c>
      <c r="M8" s="311" t="s">
        <v>342</v>
      </c>
      <c r="N8" s="311" t="s">
        <v>342</v>
      </c>
      <c r="O8" s="311" t="s">
        <v>342</v>
      </c>
      <c r="P8" s="446" t="s">
        <v>342</v>
      </c>
    </row>
    <row r="9" spans="1:16" ht="10.5">
      <c r="A9" s="81" t="s">
        <v>28</v>
      </c>
      <c r="B9" s="82" t="str">
        <f>VLOOKUP(A9,Классификаторы!$A:$B,2,FALSE)</f>
        <v>Цех 3</v>
      </c>
      <c r="C9" s="188" t="s">
        <v>386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255"/>
    </row>
    <row r="10" spans="1:16" ht="10.5">
      <c r="A10" s="81" t="s">
        <v>28</v>
      </c>
      <c r="B10" s="82" t="str">
        <f>VLOOKUP(A10,Классификаторы!$A:$B,2,FALSE)</f>
        <v>Цех 3</v>
      </c>
      <c r="C10" s="188" t="s">
        <v>387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255"/>
    </row>
    <row r="11" spans="1:16" ht="10.5">
      <c r="A11" s="81" t="s">
        <v>28</v>
      </c>
      <c r="B11" s="82" t="str">
        <f>VLOOKUP(A11,Классификаторы!$A:$B,2,FALSE)</f>
        <v>Цех 3</v>
      </c>
      <c r="C11" s="188" t="s">
        <v>388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255"/>
    </row>
    <row r="12" spans="1:16" ht="10.5">
      <c r="A12" s="81" t="s">
        <v>28</v>
      </c>
      <c r="B12" s="82" t="str">
        <f>VLOOKUP(A12,Классификаторы!$A:$B,2,FALSE)</f>
        <v>Цех 3</v>
      </c>
      <c r="C12" s="188" t="s">
        <v>389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255"/>
    </row>
    <row r="13" spans="1:16" ht="10.5">
      <c r="A13" s="81" t="s">
        <v>28</v>
      </c>
      <c r="B13" s="82" t="str">
        <f>VLOOKUP(A13,Классификаторы!$A:$B,2,FALSE)</f>
        <v>Цех 3</v>
      </c>
      <c r="C13" s="188" t="s">
        <v>390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255"/>
    </row>
    <row r="14" spans="1:16" ht="10.5">
      <c r="A14" s="81" t="s">
        <v>28</v>
      </c>
      <c r="B14" s="82" t="str">
        <f>VLOOKUP(A14,Классификаторы!$A:$B,2,FALSE)</f>
        <v>Цех 3</v>
      </c>
      <c r="C14" s="188" t="s">
        <v>391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255"/>
    </row>
    <row r="15" spans="1:16" ht="10.5">
      <c r="A15" s="81" t="s">
        <v>28</v>
      </c>
      <c r="B15" s="82" t="str">
        <f>VLOOKUP(A15,Классификаторы!$A:$B,2,FALSE)</f>
        <v>Цех 3</v>
      </c>
      <c r="C15" s="188" t="s">
        <v>392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255"/>
    </row>
    <row r="16" spans="1:16" ht="10.5">
      <c r="A16" s="81" t="s">
        <v>28</v>
      </c>
      <c r="B16" s="82" t="str">
        <f>VLOOKUP(A16,Классификаторы!$A:$B,2,FALSE)</f>
        <v>Цех 3</v>
      </c>
      <c r="C16" s="188" t="s">
        <v>393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255"/>
    </row>
    <row r="17" spans="1:16" ht="10.5">
      <c r="A17" s="81" t="s">
        <v>28</v>
      </c>
      <c r="B17" s="82" t="str">
        <f>VLOOKUP(A17,Классификаторы!$A:$B,2,FALSE)</f>
        <v>Цех 3</v>
      </c>
      <c r="C17" s="188" t="s">
        <v>394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255"/>
    </row>
    <row r="18" spans="1:16" ht="10.5">
      <c r="A18" s="81" t="s">
        <v>28</v>
      </c>
      <c r="B18" s="82" t="str">
        <f>VLOOKUP(A18,Классификаторы!$A:$B,2,FALSE)</f>
        <v>Цех 3</v>
      </c>
      <c r="C18" s="188" t="s">
        <v>395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255"/>
    </row>
    <row r="19" spans="1:16" ht="10.5">
      <c r="A19" s="81" t="s">
        <v>28</v>
      </c>
      <c r="B19" s="82" t="str">
        <f>VLOOKUP(A19,Классификаторы!$A:$B,2,FALSE)</f>
        <v>Цех 3</v>
      </c>
      <c r="C19" s="188" t="s">
        <v>396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255"/>
    </row>
    <row r="20" spans="1:16" ht="10.5">
      <c r="A20" s="81" t="s">
        <v>28</v>
      </c>
      <c r="B20" s="82" t="str">
        <f>VLOOKUP(A20,Классификаторы!$A:$B,2,FALSE)</f>
        <v>Цех 3</v>
      </c>
      <c r="C20" s="188" t="s">
        <v>397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255"/>
    </row>
    <row r="21" spans="1:16" ht="10.5">
      <c r="A21" s="81" t="s">
        <v>28</v>
      </c>
      <c r="B21" s="82" t="str">
        <f>VLOOKUP(A21,Классификаторы!$A:$B,2,FALSE)</f>
        <v>Цех 3</v>
      </c>
      <c r="C21" s="188" t="s">
        <v>399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255"/>
    </row>
    <row r="22" spans="1:16" ht="10.5">
      <c r="A22" s="81" t="s">
        <v>28</v>
      </c>
      <c r="B22" s="82" t="str">
        <f>VLOOKUP(A22,Классификаторы!$A:$B,2,FALSE)</f>
        <v>Цех 3</v>
      </c>
      <c r="C22" s="188" t="s">
        <v>400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255"/>
    </row>
    <row r="23" spans="1:16" ht="10.5">
      <c r="A23" s="81" t="s">
        <v>28</v>
      </c>
      <c r="B23" s="82" t="str">
        <f>VLOOKUP(A23,Классификаторы!$A:$B,2,FALSE)</f>
        <v>Цех 3</v>
      </c>
      <c r="C23" s="188" t="s">
        <v>401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255"/>
    </row>
    <row r="24" spans="1:16" ht="10.5">
      <c r="A24" s="405"/>
      <c r="B24" s="443" t="s">
        <v>64</v>
      </c>
      <c r="C24" s="447" t="s">
        <v>342</v>
      </c>
      <c r="D24" s="448" t="s">
        <v>342</v>
      </c>
      <c r="E24" s="448" t="s">
        <v>342</v>
      </c>
      <c r="F24" s="448" t="s">
        <v>342</v>
      </c>
      <c r="G24" s="448" t="s">
        <v>342</v>
      </c>
      <c r="H24" s="448" t="s">
        <v>342</v>
      </c>
      <c r="I24" s="448" t="s">
        <v>342</v>
      </c>
      <c r="J24" s="448" t="s">
        <v>342</v>
      </c>
      <c r="K24" s="448" t="s">
        <v>342</v>
      </c>
      <c r="L24" s="448" t="s">
        <v>342</v>
      </c>
      <c r="M24" s="448" t="s">
        <v>342</v>
      </c>
      <c r="N24" s="448" t="s">
        <v>342</v>
      </c>
      <c r="O24" s="448" t="s">
        <v>342</v>
      </c>
      <c r="P24" s="449" t="s">
        <v>342</v>
      </c>
    </row>
    <row r="27" spans="1:16" ht="13.5" thickBot="1">
      <c r="A27" s="77" t="s">
        <v>332</v>
      </c>
      <c r="B27" s="89"/>
      <c r="C27" s="2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100"/>
      <c r="P27" s="27"/>
    </row>
    <row r="28" spans="1:17" ht="10.5">
      <c r="A28" s="55" t="s">
        <v>0</v>
      </c>
      <c r="B28" s="55" t="s">
        <v>159</v>
      </c>
      <c r="C28" s="55" t="s">
        <v>66</v>
      </c>
      <c r="D28" s="55"/>
      <c r="E28" s="187">
        <v>39448</v>
      </c>
      <c r="F28" s="187">
        <v>39479</v>
      </c>
      <c r="G28" s="187">
        <v>39508</v>
      </c>
      <c r="H28" s="187">
        <v>39539</v>
      </c>
      <c r="I28" s="187">
        <v>39569</v>
      </c>
      <c r="J28" s="187">
        <v>39600</v>
      </c>
      <c r="K28" s="187">
        <v>39630</v>
      </c>
      <c r="L28" s="187">
        <v>39661</v>
      </c>
      <c r="M28" s="187">
        <v>39692</v>
      </c>
      <c r="N28" s="187">
        <v>39722</v>
      </c>
      <c r="O28" s="187">
        <v>39753</v>
      </c>
      <c r="P28" s="187">
        <v>39783</v>
      </c>
      <c r="Q28" s="187" t="s">
        <v>67</v>
      </c>
    </row>
    <row r="29" spans="1:17" ht="10.5">
      <c r="A29" s="81" t="s">
        <v>26</v>
      </c>
      <c r="B29" s="82" t="str">
        <f>VLOOKUP(A29,Классификаторы!$A:$B,2,FALSE)</f>
        <v>Цех 1</v>
      </c>
      <c r="C29" s="115" t="s">
        <v>411</v>
      </c>
      <c r="D29" s="19"/>
      <c r="E29" s="113">
        <f>SUMIF('Программа пр-ва'!$C$4:$C$11,$C29,'Программа пр-ва'!D$4:D$11)*SUMIF($C$5:$C$24,$C29,$D$5:$D$24)*SUMIF($C$5:$C$24,$C29,E$5:E$24)</f>
        <v>0</v>
      </c>
      <c r="F29" s="113">
        <f>SUMIF('Программа пр-ва'!$C$4:$C$11,$C29,'Программа пр-ва'!E$4:E$11)*SUMIF($C$5:$C$24,$C29,$D$5:$D$24)*SUMIF($C$5:$C$24,$C29,F$5:F$24)</f>
        <v>0</v>
      </c>
      <c r="G29" s="113">
        <f>SUMIF('Программа пр-ва'!$C$4:$C$11,$C29,'Программа пр-ва'!F$4:F$11)*SUMIF($C$5:$C$24,$C29,$D$5:$D$24)*SUMIF($C$5:$C$24,$C29,G$5:G$24)</f>
        <v>0</v>
      </c>
      <c r="H29" s="113">
        <f>SUMIF('Программа пр-ва'!$C$4:$C$11,$C29,'Программа пр-ва'!G$4:G$11)*SUMIF($C$5:$C$24,$C29,$D$5:$D$24)*SUMIF($C$5:$C$24,$C29,H$5:H$24)</f>
        <v>0</v>
      </c>
      <c r="I29" s="113">
        <f>SUMIF('Программа пр-ва'!$C$4:$C$11,$C29,'Программа пр-ва'!H$4:H$11)*SUMIF($C$5:$C$24,$C29,$D$5:$D$24)*SUMIF($C$5:$C$24,$C29,I$5:I$24)</f>
        <v>0</v>
      </c>
      <c r="J29" s="113">
        <f>SUMIF('Программа пр-ва'!$C$4:$C$11,$C29,'Программа пр-ва'!I$4:I$11)*SUMIF($C$5:$C$24,$C29,$D$5:$D$24)*SUMIF($C$5:$C$24,$C29,J$5:J$24)</f>
        <v>0</v>
      </c>
      <c r="K29" s="113">
        <f>SUMIF('Программа пр-ва'!$C$4:$C$11,$C29,'Программа пр-ва'!J$4:J$11)*SUMIF($C$5:$C$24,$C29,$D$5:$D$24)*SUMIF($C$5:$C$24,$C29,K$5:K$24)</f>
        <v>0</v>
      </c>
      <c r="L29" s="113">
        <f>SUMIF('Программа пр-ва'!$C$4:$C$11,$C29,'Программа пр-ва'!K$4:K$11)*SUMIF($C$5:$C$24,$C29,$D$5:$D$24)*SUMIF($C$5:$C$24,$C29,L$5:L$24)</f>
        <v>0</v>
      </c>
      <c r="M29" s="113">
        <f>SUMIF('Программа пр-ва'!$C$4:$C$11,$C29,'Программа пр-ва'!L$4:L$11)*SUMIF($C$5:$C$24,$C29,$D$5:$D$24)*SUMIF($C$5:$C$24,$C29,M$5:M$24)</f>
        <v>0</v>
      </c>
      <c r="N29" s="113">
        <f>SUMIF('Программа пр-ва'!$C$4:$C$11,$C29,'Программа пр-ва'!M$4:M$11)*SUMIF($C$5:$C$24,$C29,$D$5:$D$24)*SUMIF($C$5:$C$24,$C29,N$5:N$24)</f>
        <v>0</v>
      </c>
      <c r="O29" s="113">
        <f>SUMIF('Программа пр-ва'!$C$4:$C$11,$C29,'Программа пр-ва'!N$4:N$11)*SUMIF($C$5:$C$24,$C29,$D$5:$D$24)*SUMIF($C$5:$C$24,$C29,O$5:O$24)</f>
        <v>0</v>
      </c>
      <c r="P29" s="191">
        <f>SUMIF('Программа пр-ва'!$C$4:$C$11,$C29,'Программа пр-ва'!O$4:O$11)*SUMIF($C$5:$C$24,$C29,$D$5:$D$24)*SUMIF($C$5:$C$24,$C29,P$5:P$24)</f>
        <v>0</v>
      </c>
      <c r="Q29" s="192">
        <f>SUM(E29:P29)</f>
        <v>0</v>
      </c>
    </row>
    <row r="30" spans="1:17" ht="10.5">
      <c r="A30" s="174"/>
      <c r="B30" s="189" t="s">
        <v>64</v>
      </c>
      <c r="C30" s="444" t="s">
        <v>342</v>
      </c>
      <c r="D30" s="19"/>
      <c r="E30" s="444" t="s">
        <v>342</v>
      </c>
      <c r="F30" s="444" t="s">
        <v>342</v>
      </c>
      <c r="G30" s="444" t="s">
        <v>342</v>
      </c>
      <c r="H30" s="444" t="s">
        <v>342</v>
      </c>
      <c r="I30" s="444" t="s">
        <v>342</v>
      </c>
      <c r="J30" s="444" t="s">
        <v>342</v>
      </c>
      <c r="K30" s="444" t="s">
        <v>342</v>
      </c>
      <c r="L30" s="444" t="s">
        <v>342</v>
      </c>
      <c r="M30" s="444" t="s">
        <v>342</v>
      </c>
      <c r="N30" s="444" t="s">
        <v>342</v>
      </c>
      <c r="O30" s="444" t="s">
        <v>342</v>
      </c>
      <c r="P30" s="450" t="s">
        <v>342</v>
      </c>
      <c r="Q30" s="451" t="s">
        <v>342</v>
      </c>
    </row>
    <row r="31" spans="1:17" ht="10.5">
      <c r="A31" s="81" t="s">
        <v>27</v>
      </c>
      <c r="B31" s="82" t="str">
        <f>VLOOKUP(A31,Классификаторы!$A:$B,2,FALSE)</f>
        <v>Цех 2</v>
      </c>
      <c r="C31" s="115" t="s">
        <v>412</v>
      </c>
      <c r="D31" s="19"/>
      <c r="E31" s="113">
        <f>SUMIF('Программа пр-ва'!$C$4:$C$11,$C31,'Программа пр-ва'!D$4:D$11)*SUMIF($C$5:$C$24,$C31,$D$5:$D$24)*SUMIF($C$5:$C$24,$C31,E$5:E$24)</f>
        <v>0</v>
      </c>
      <c r="F31" s="113">
        <f>SUMIF('Программа пр-ва'!$C$4:$C$11,$C31,'Программа пр-ва'!E$4:E$11)*SUMIF($C$5:$C$24,$C31,$D$5:$D$24)*SUMIF($C$5:$C$24,$C31,F$5:F$24)</f>
        <v>0</v>
      </c>
      <c r="G31" s="113">
        <f>SUMIF('Программа пр-ва'!$C$4:$C$11,$C31,'Программа пр-ва'!F$4:F$11)*SUMIF($C$5:$C$24,$C31,$D$5:$D$24)*SUMIF($C$5:$C$24,$C31,G$5:G$24)</f>
        <v>0</v>
      </c>
      <c r="H31" s="113">
        <f>SUMIF('Программа пр-ва'!$C$4:$C$11,$C31,'Программа пр-ва'!G$4:G$11)*SUMIF($C$5:$C$24,$C31,$D$5:$D$24)*SUMIF($C$5:$C$24,$C31,H$5:H$24)</f>
        <v>0</v>
      </c>
      <c r="I31" s="113">
        <f>SUMIF('Программа пр-ва'!$C$4:$C$11,$C31,'Программа пр-ва'!H$4:H$11)*SUMIF($C$5:$C$24,$C31,$D$5:$D$24)*SUMIF($C$5:$C$24,$C31,I$5:I$24)</f>
        <v>0</v>
      </c>
      <c r="J31" s="113">
        <f>SUMIF('Программа пр-ва'!$C$4:$C$11,$C31,'Программа пр-ва'!I$4:I$11)*SUMIF($C$5:$C$24,$C31,$D$5:$D$24)*SUMIF($C$5:$C$24,$C31,J$5:J$24)</f>
        <v>0</v>
      </c>
      <c r="K31" s="113">
        <f>SUMIF('Программа пр-ва'!$C$4:$C$11,$C31,'Программа пр-ва'!J$4:J$11)*SUMIF($C$5:$C$24,$C31,$D$5:$D$24)*SUMIF($C$5:$C$24,$C31,K$5:K$24)</f>
        <v>0</v>
      </c>
      <c r="L31" s="113">
        <f>SUMIF('Программа пр-ва'!$C$4:$C$11,$C31,'Программа пр-ва'!K$4:K$11)*SUMIF($C$5:$C$24,$C31,$D$5:$D$24)*SUMIF($C$5:$C$24,$C31,L$5:L$24)</f>
        <v>0</v>
      </c>
      <c r="M31" s="113">
        <f>SUMIF('Программа пр-ва'!$C$4:$C$11,$C31,'Программа пр-ва'!L$4:L$11)*SUMIF($C$5:$C$24,$C31,$D$5:$D$24)*SUMIF($C$5:$C$24,$C31,M$5:M$24)</f>
        <v>0</v>
      </c>
      <c r="N31" s="113">
        <f>SUMIF('Программа пр-ва'!$C$4:$C$11,$C31,'Программа пр-ва'!M$4:M$11)*SUMIF($C$5:$C$24,$C31,$D$5:$D$24)*SUMIF($C$5:$C$24,$C31,N$5:N$24)</f>
        <v>0</v>
      </c>
      <c r="O31" s="113">
        <f>SUMIF('Программа пр-ва'!$C$4:$C$11,$C31,'Программа пр-ва'!N$4:N$11)*SUMIF($C$5:$C$24,$C31,$D$5:$D$24)*SUMIF($C$5:$C$24,$C31,O$5:O$24)</f>
        <v>0</v>
      </c>
      <c r="P31" s="191">
        <f>SUMIF('Программа пр-ва'!$C$4:$C$11,$C31,'Программа пр-ва'!O$4:O$11)*SUMIF($C$5:$C$24,$C31,$D$5:$D$24)*SUMIF($C$5:$C$24,$C31,P$5:P$24)</f>
        <v>0</v>
      </c>
      <c r="Q31" s="194">
        <f aca="true" t="shared" si="0" ref="Q31:Q47">SUM(E31:P31)</f>
        <v>0</v>
      </c>
    </row>
    <row r="32" spans="1:17" ht="10.5">
      <c r="A32" s="174"/>
      <c r="B32" s="189" t="s">
        <v>64</v>
      </c>
      <c r="C32" s="444" t="s">
        <v>342</v>
      </c>
      <c r="D32" s="19"/>
      <c r="E32" s="444" t="s">
        <v>342</v>
      </c>
      <c r="F32" s="444" t="s">
        <v>342</v>
      </c>
      <c r="G32" s="444" t="s">
        <v>342</v>
      </c>
      <c r="H32" s="444" t="s">
        <v>342</v>
      </c>
      <c r="I32" s="444" t="s">
        <v>342</v>
      </c>
      <c r="J32" s="444" t="s">
        <v>342</v>
      </c>
      <c r="K32" s="444" t="s">
        <v>342</v>
      </c>
      <c r="L32" s="444" t="s">
        <v>342</v>
      </c>
      <c r="M32" s="444" t="s">
        <v>342</v>
      </c>
      <c r="N32" s="444" t="s">
        <v>342</v>
      </c>
      <c r="O32" s="444" t="s">
        <v>342</v>
      </c>
      <c r="P32" s="450" t="s">
        <v>342</v>
      </c>
      <c r="Q32" s="451" t="s">
        <v>342</v>
      </c>
    </row>
    <row r="33" spans="1:17" ht="10.5">
      <c r="A33" s="81" t="s">
        <v>28</v>
      </c>
      <c r="B33" s="82" t="str">
        <f>VLOOKUP(A33,Классификаторы!$A:$B,2,FALSE)</f>
        <v>Цех 3</v>
      </c>
      <c r="C33" s="188" t="s">
        <v>386</v>
      </c>
      <c r="D33" s="19"/>
      <c r="E33" s="113">
        <f>SUMIF('Программа пр-ва'!$C$4:$C$11,$C33,'Программа пр-ва'!D$4:D$11)*SUMIF($C$5:$C$24,$C33,$D$5:$D$24)*SUMIF($C$5:$C$24,$C33,E$5:E$24)</f>
        <v>0</v>
      </c>
      <c r="F33" s="113">
        <f>SUMIF('Программа пр-ва'!$C$4:$C$11,$C33,'Программа пр-ва'!E$4:E$11)*SUMIF($C$5:$C$24,$C33,$D$5:$D$24)*SUMIF($C$5:$C$24,$C33,F$5:F$24)</f>
        <v>0</v>
      </c>
      <c r="G33" s="113">
        <f>SUMIF('Программа пр-ва'!$C$4:$C$11,$C33,'Программа пр-ва'!F$4:F$11)*SUMIF($C$5:$C$24,$C33,$D$5:$D$24)*SUMIF($C$5:$C$24,$C33,G$5:G$24)</f>
        <v>0</v>
      </c>
      <c r="H33" s="113">
        <f>SUMIF('Программа пр-ва'!$C$4:$C$11,$C33,'Программа пр-ва'!G$4:G$11)*SUMIF($C$5:$C$24,$C33,$D$5:$D$24)*SUMIF($C$5:$C$24,$C33,H$5:H$24)</f>
        <v>0</v>
      </c>
      <c r="I33" s="113">
        <f>SUMIF('Программа пр-ва'!$C$4:$C$11,$C33,'Программа пр-ва'!H$4:H$11)*SUMIF($C$5:$C$24,$C33,$D$5:$D$24)*SUMIF($C$5:$C$24,$C33,I$5:I$24)</f>
        <v>0</v>
      </c>
      <c r="J33" s="113">
        <f>SUMIF('Программа пр-ва'!$C$4:$C$11,$C33,'Программа пр-ва'!I$4:I$11)*SUMIF($C$5:$C$24,$C33,$D$5:$D$24)*SUMIF($C$5:$C$24,$C33,J$5:J$24)</f>
        <v>0</v>
      </c>
      <c r="K33" s="113">
        <f>SUMIF('Программа пр-ва'!$C$4:$C$11,$C33,'Программа пр-ва'!J$4:J$11)*SUMIF($C$5:$C$24,$C33,$D$5:$D$24)*SUMIF($C$5:$C$24,$C33,K$5:K$24)</f>
        <v>0</v>
      </c>
      <c r="L33" s="113">
        <f>SUMIF('Программа пр-ва'!$C$4:$C$11,$C33,'Программа пр-ва'!K$4:K$11)*SUMIF($C$5:$C$24,$C33,$D$5:$D$24)*SUMIF($C$5:$C$24,$C33,L$5:L$24)</f>
        <v>0</v>
      </c>
      <c r="M33" s="113">
        <f>SUMIF('Программа пр-ва'!$C$4:$C$11,$C33,'Программа пр-ва'!L$4:L$11)*SUMIF($C$5:$C$24,$C33,$D$5:$D$24)*SUMIF($C$5:$C$24,$C33,M$5:M$24)</f>
        <v>0</v>
      </c>
      <c r="N33" s="113">
        <f>SUMIF('Программа пр-ва'!$C$4:$C$11,$C33,'Программа пр-ва'!M$4:M$11)*SUMIF($C$5:$C$24,$C33,$D$5:$D$24)*SUMIF($C$5:$C$24,$C33,N$5:N$24)</f>
        <v>0</v>
      </c>
      <c r="O33" s="113">
        <f>SUMIF('Программа пр-ва'!$C$4:$C$11,$C33,'Программа пр-ва'!N$4:N$11)*SUMIF($C$5:$C$24,$C33,$D$5:$D$24)*SUMIF($C$5:$C$24,$C33,O$5:O$24)</f>
        <v>0</v>
      </c>
      <c r="P33" s="191">
        <f>SUMIF('Программа пр-ва'!$C$4:$C$11,$C33,'Программа пр-ва'!O$4:O$11)*SUMIF($C$5:$C$24,$C33,$D$5:$D$24)*SUMIF($C$5:$C$24,$C33,P$5:P$24)</f>
        <v>0</v>
      </c>
      <c r="Q33" s="194">
        <f t="shared" si="0"/>
        <v>0</v>
      </c>
    </row>
    <row r="34" spans="1:17" ht="10.5">
      <c r="A34" s="81" t="s">
        <v>28</v>
      </c>
      <c r="B34" s="82" t="str">
        <f>VLOOKUP(A34,Классификаторы!$A:$B,2,FALSE)</f>
        <v>Цех 3</v>
      </c>
      <c r="C34" s="188" t="s">
        <v>387</v>
      </c>
      <c r="D34" s="19"/>
      <c r="E34" s="113">
        <f>SUMIF('Программа пр-ва'!$C$4:$C$11,$C34,'Программа пр-ва'!D$4:D$11)*SUMIF($C$5:$C$24,$C34,$D$5:$D$24)*SUMIF($C$5:$C$24,$C34,E$5:E$24)</f>
        <v>0</v>
      </c>
      <c r="F34" s="113">
        <f>SUMIF('Программа пр-ва'!$C$4:$C$11,$C34,'Программа пр-ва'!E$4:E$11)*SUMIF($C$5:$C$24,$C34,$D$5:$D$24)*SUMIF($C$5:$C$24,$C34,F$5:F$24)</f>
        <v>0</v>
      </c>
      <c r="G34" s="113">
        <f>SUMIF('Программа пр-ва'!$C$4:$C$11,$C34,'Программа пр-ва'!F$4:F$11)*SUMIF($C$5:$C$24,$C34,$D$5:$D$24)*SUMIF($C$5:$C$24,$C34,G$5:G$24)</f>
        <v>0</v>
      </c>
      <c r="H34" s="113">
        <f>SUMIF('Программа пр-ва'!$C$4:$C$11,$C34,'Программа пр-ва'!G$4:G$11)*SUMIF($C$5:$C$24,$C34,$D$5:$D$24)*SUMIF($C$5:$C$24,$C34,H$5:H$24)</f>
        <v>0</v>
      </c>
      <c r="I34" s="113">
        <f>SUMIF('Программа пр-ва'!$C$4:$C$11,$C34,'Программа пр-ва'!H$4:H$11)*SUMIF($C$5:$C$24,$C34,$D$5:$D$24)*SUMIF($C$5:$C$24,$C34,I$5:I$24)</f>
        <v>0</v>
      </c>
      <c r="J34" s="113">
        <f>SUMIF('Программа пр-ва'!$C$4:$C$11,$C34,'Программа пр-ва'!I$4:I$11)*SUMIF($C$5:$C$24,$C34,$D$5:$D$24)*SUMIF($C$5:$C$24,$C34,J$5:J$24)</f>
        <v>0</v>
      </c>
      <c r="K34" s="113">
        <f>SUMIF('Программа пр-ва'!$C$4:$C$11,$C34,'Программа пр-ва'!J$4:J$11)*SUMIF($C$5:$C$24,$C34,$D$5:$D$24)*SUMIF($C$5:$C$24,$C34,K$5:K$24)</f>
        <v>0</v>
      </c>
      <c r="L34" s="113">
        <f>SUMIF('Программа пр-ва'!$C$4:$C$11,$C34,'Программа пр-ва'!K$4:K$11)*SUMIF($C$5:$C$24,$C34,$D$5:$D$24)*SUMIF($C$5:$C$24,$C34,L$5:L$24)</f>
        <v>0</v>
      </c>
      <c r="M34" s="113">
        <f>SUMIF('Программа пр-ва'!$C$4:$C$11,$C34,'Программа пр-ва'!L$4:L$11)*SUMIF($C$5:$C$24,$C34,$D$5:$D$24)*SUMIF($C$5:$C$24,$C34,M$5:M$24)</f>
        <v>0</v>
      </c>
      <c r="N34" s="113">
        <f>SUMIF('Программа пр-ва'!$C$4:$C$11,$C34,'Программа пр-ва'!M$4:M$11)*SUMIF($C$5:$C$24,$C34,$D$5:$D$24)*SUMIF($C$5:$C$24,$C34,N$5:N$24)</f>
        <v>0</v>
      </c>
      <c r="O34" s="113">
        <f>SUMIF('Программа пр-ва'!$C$4:$C$11,$C34,'Программа пр-ва'!N$4:N$11)*SUMIF($C$5:$C$24,$C34,$D$5:$D$24)*SUMIF($C$5:$C$24,$C34,O$5:O$24)</f>
        <v>0</v>
      </c>
      <c r="P34" s="191">
        <f>SUMIF('Программа пр-ва'!$C$4:$C$11,$C34,'Программа пр-ва'!O$4:O$11)*SUMIF($C$5:$C$24,$C34,$D$5:$D$24)*SUMIF($C$5:$C$24,$C34,P$5:P$24)</f>
        <v>0</v>
      </c>
      <c r="Q34" s="194">
        <f t="shared" si="0"/>
        <v>0</v>
      </c>
    </row>
    <row r="35" spans="1:17" ht="10.5">
      <c r="A35" s="81" t="s">
        <v>28</v>
      </c>
      <c r="B35" s="82" t="str">
        <f>VLOOKUP(A35,Классификаторы!$A:$B,2,FALSE)</f>
        <v>Цех 3</v>
      </c>
      <c r="C35" s="188" t="s">
        <v>388</v>
      </c>
      <c r="D35" s="19"/>
      <c r="E35" s="113">
        <f>SUMIF('Программа пр-ва'!$C$4:$C$11,$C35,'Программа пр-ва'!D$4:D$11)*SUMIF($C$5:$C$24,$C35,$D$5:$D$24)*SUMIF($C$5:$C$24,$C35,E$5:E$24)</f>
        <v>0</v>
      </c>
      <c r="F35" s="113">
        <f>SUMIF('Программа пр-ва'!$C$4:$C$11,$C35,'Программа пр-ва'!E$4:E$11)*SUMIF($C$5:$C$24,$C35,$D$5:$D$24)*SUMIF($C$5:$C$24,$C35,F$5:F$24)</f>
        <v>0</v>
      </c>
      <c r="G35" s="113">
        <f>SUMIF('Программа пр-ва'!$C$4:$C$11,$C35,'Программа пр-ва'!F$4:F$11)*SUMIF($C$5:$C$24,$C35,$D$5:$D$24)*SUMIF($C$5:$C$24,$C35,G$5:G$24)</f>
        <v>0</v>
      </c>
      <c r="H35" s="113">
        <f>SUMIF('Программа пр-ва'!$C$4:$C$11,$C35,'Программа пр-ва'!G$4:G$11)*SUMIF($C$5:$C$24,$C35,$D$5:$D$24)*SUMIF($C$5:$C$24,$C35,H$5:H$24)</f>
        <v>0</v>
      </c>
      <c r="I35" s="113">
        <f>SUMIF('Программа пр-ва'!$C$4:$C$11,$C35,'Программа пр-ва'!H$4:H$11)*SUMIF($C$5:$C$24,$C35,$D$5:$D$24)*SUMIF($C$5:$C$24,$C35,I$5:I$24)</f>
        <v>0</v>
      </c>
      <c r="J35" s="113">
        <f>SUMIF('Программа пр-ва'!$C$4:$C$11,$C35,'Программа пр-ва'!I$4:I$11)*SUMIF($C$5:$C$24,$C35,$D$5:$D$24)*SUMIF($C$5:$C$24,$C35,J$5:J$24)</f>
        <v>0</v>
      </c>
      <c r="K35" s="113">
        <f>SUMIF('Программа пр-ва'!$C$4:$C$11,$C35,'Программа пр-ва'!J$4:J$11)*SUMIF($C$5:$C$24,$C35,$D$5:$D$24)*SUMIF($C$5:$C$24,$C35,K$5:K$24)</f>
        <v>0</v>
      </c>
      <c r="L35" s="113">
        <f>SUMIF('Программа пр-ва'!$C$4:$C$11,$C35,'Программа пр-ва'!K$4:K$11)*SUMIF($C$5:$C$24,$C35,$D$5:$D$24)*SUMIF($C$5:$C$24,$C35,L$5:L$24)</f>
        <v>0</v>
      </c>
      <c r="M35" s="113">
        <f>SUMIF('Программа пр-ва'!$C$4:$C$11,$C35,'Программа пр-ва'!L$4:L$11)*SUMIF($C$5:$C$24,$C35,$D$5:$D$24)*SUMIF($C$5:$C$24,$C35,M$5:M$24)</f>
        <v>0</v>
      </c>
      <c r="N35" s="113">
        <f>SUMIF('Программа пр-ва'!$C$4:$C$11,$C35,'Программа пр-ва'!M$4:M$11)*SUMIF($C$5:$C$24,$C35,$D$5:$D$24)*SUMIF($C$5:$C$24,$C35,N$5:N$24)</f>
        <v>0</v>
      </c>
      <c r="O35" s="113">
        <f>SUMIF('Программа пр-ва'!$C$4:$C$11,$C35,'Программа пр-ва'!N$4:N$11)*SUMIF($C$5:$C$24,$C35,$D$5:$D$24)*SUMIF($C$5:$C$24,$C35,O$5:O$24)</f>
        <v>0</v>
      </c>
      <c r="P35" s="191">
        <f>SUMIF('Программа пр-ва'!$C$4:$C$11,$C35,'Программа пр-ва'!O$4:O$11)*SUMIF($C$5:$C$24,$C35,$D$5:$D$24)*SUMIF($C$5:$C$24,$C35,P$5:P$24)</f>
        <v>0</v>
      </c>
      <c r="Q35" s="194">
        <f t="shared" si="0"/>
        <v>0</v>
      </c>
    </row>
    <row r="36" spans="1:17" ht="10.5">
      <c r="A36" s="81" t="s">
        <v>28</v>
      </c>
      <c r="B36" s="82" t="str">
        <f>VLOOKUP(A36,Классификаторы!$A:$B,2,FALSE)</f>
        <v>Цех 3</v>
      </c>
      <c r="C36" s="188" t="s">
        <v>389</v>
      </c>
      <c r="D36" s="19"/>
      <c r="E36" s="113">
        <f>SUMIF('Программа пр-ва'!$C$4:$C$11,$C36,'Программа пр-ва'!D$4:D$11)*SUMIF($C$5:$C$24,$C36,$D$5:$D$24)*SUMIF($C$5:$C$24,$C36,E$5:E$24)</f>
        <v>0</v>
      </c>
      <c r="F36" s="113">
        <f>SUMIF('Программа пр-ва'!$C$4:$C$11,$C36,'Программа пр-ва'!E$4:E$11)*SUMIF($C$5:$C$24,$C36,$D$5:$D$24)*SUMIF($C$5:$C$24,$C36,F$5:F$24)</f>
        <v>0</v>
      </c>
      <c r="G36" s="113">
        <f>SUMIF('Программа пр-ва'!$C$4:$C$11,$C36,'Программа пр-ва'!F$4:F$11)*SUMIF($C$5:$C$24,$C36,$D$5:$D$24)*SUMIF($C$5:$C$24,$C36,G$5:G$24)</f>
        <v>0</v>
      </c>
      <c r="H36" s="113">
        <f>SUMIF('Программа пр-ва'!$C$4:$C$11,$C36,'Программа пр-ва'!G$4:G$11)*SUMIF($C$5:$C$24,$C36,$D$5:$D$24)*SUMIF($C$5:$C$24,$C36,H$5:H$24)</f>
        <v>0</v>
      </c>
      <c r="I36" s="113">
        <f>SUMIF('Программа пр-ва'!$C$4:$C$11,$C36,'Программа пр-ва'!H$4:H$11)*SUMIF($C$5:$C$24,$C36,$D$5:$D$24)*SUMIF($C$5:$C$24,$C36,I$5:I$24)</f>
        <v>0</v>
      </c>
      <c r="J36" s="113">
        <f>SUMIF('Программа пр-ва'!$C$4:$C$11,$C36,'Программа пр-ва'!I$4:I$11)*SUMIF($C$5:$C$24,$C36,$D$5:$D$24)*SUMIF($C$5:$C$24,$C36,J$5:J$24)</f>
        <v>0</v>
      </c>
      <c r="K36" s="113">
        <f>SUMIF('Программа пр-ва'!$C$4:$C$11,$C36,'Программа пр-ва'!J$4:J$11)*SUMIF($C$5:$C$24,$C36,$D$5:$D$24)*SUMIF($C$5:$C$24,$C36,K$5:K$24)</f>
        <v>0</v>
      </c>
      <c r="L36" s="113">
        <f>SUMIF('Программа пр-ва'!$C$4:$C$11,$C36,'Программа пр-ва'!K$4:K$11)*SUMIF($C$5:$C$24,$C36,$D$5:$D$24)*SUMIF($C$5:$C$24,$C36,L$5:L$24)</f>
        <v>0</v>
      </c>
      <c r="M36" s="113">
        <f>SUMIF('Программа пр-ва'!$C$4:$C$11,$C36,'Программа пр-ва'!L$4:L$11)*SUMIF($C$5:$C$24,$C36,$D$5:$D$24)*SUMIF($C$5:$C$24,$C36,M$5:M$24)</f>
        <v>0</v>
      </c>
      <c r="N36" s="113">
        <f>SUMIF('Программа пр-ва'!$C$4:$C$11,$C36,'Программа пр-ва'!M$4:M$11)*SUMIF($C$5:$C$24,$C36,$D$5:$D$24)*SUMIF($C$5:$C$24,$C36,N$5:N$24)</f>
        <v>0</v>
      </c>
      <c r="O36" s="113">
        <f>SUMIF('Программа пр-ва'!$C$4:$C$11,$C36,'Программа пр-ва'!N$4:N$11)*SUMIF($C$5:$C$24,$C36,$D$5:$D$24)*SUMIF($C$5:$C$24,$C36,O$5:O$24)</f>
        <v>0</v>
      </c>
      <c r="P36" s="191">
        <f>SUMIF('Программа пр-ва'!$C$4:$C$11,$C36,'Программа пр-ва'!O$4:O$11)*SUMIF($C$5:$C$24,$C36,$D$5:$D$24)*SUMIF($C$5:$C$24,$C36,P$5:P$24)</f>
        <v>0</v>
      </c>
      <c r="Q36" s="194">
        <f t="shared" si="0"/>
        <v>0</v>
      </c>
    </row>
    <row r="37" spans="1:17" ht="10.5">
      <c r="A37" s="81" t="s">
        <v>28</v>
      </c>
      <c r="B37" s="82" t="str">
        <f>VLOOKUP(A37,Классификаторы!$A:$B,2,FALSE)</f>
        <v>Цех 3</v>
      </c>
      <c r="C37" s="188" t="s">
        <v>390</v>
      </c>
      <c r="D37" s="19"/>
      <c r="E37" s="113">
        <f>SUMIF('Программа пр-ва'!$C$4:$C$23,$C37,'Программа пр-ва'!$D$4:$D$23)*SUMIF($C$5:$C$24,$C37,$D$5:$D$24)*SUMIF($C$5:$C$24,$C37,E$5:E$24)</f>
        <v>0</v>
      </c>
      <c r="F37" s="113">
        <f>SUMIF('Программа пр-ва'!$C$4:$C$23,$C37,'Программа пр-ва'!$D$4:$D$23)*SUMIF($C$5:$C$24,$C37,$D$5:$D$24)*SUMIF($C$5:$C$24,$C37,F$5:F$24)</f>
        <v>0</v>
      </c>
      <c r="G37" s="113">
        <f>SUMIF('Программа пр-ва'!$C$4:$C$23,$C37,'Программа пр-ва'!$D$4:$D$23)*SUMIF($C$5:$C$24,$C37,$D$5:$D$24)*SUMIF($C$5:$C$24,$C37,G$5:G$24)</f>
        <v>0</v>
      </c>
      <c r="H37" s="113">
        <f>SUMIF('Программа пр-ва'!$C$4:$C$23,$C37,'Программа пр-ва'!$D$4:$D$23)*SUMIF($C$5:$C$24,$C37,$D$5:$D$24)*SUMIF($C$5:$C$24,$C37,H$5:H$24)</f>
        <v>0</v>
      </c>
      <c r="I37" s="113">
        <f>SUMIF('Программа пр-ва'!$C$4:$C$23,$C37,'Программа пр-ва'!$D$4:$D$23)*SUMIF($C$5:$C$24,$C37,$D$5:$D$24)*SUMIF($C$5:$C$24,$C37,I$5:I$24)</f>
        <v>0</v>
      </c>
      <c r="J37" s="113">
        <f>SUMIF('Программа пр-ва'!$C$4:$C$23,$C37,'Программа пр-ва'!$D$4:$D$23)*SUMIF($C$5:$C$24,$C37,$D$5:$D$24)*SUMIF($C$5:$C$24,$C37,J$5:J$24)</f>
        <v>0</v>
      </c>
      <c r="K37" s="113">
        <f>SUMIF('Программа пр-ва'!$C$4:$C$23,$C37,'Программа пр-ва'!$D$4:$D$23)*SUMIF($C$5:$C$24,$C37,$D$5:$D$24)*SUMIF($C$5:$C$24,$C37,K$5:K$24)</f>
        <v>0</v>
      </c>
      <c r="L37" s="113">
        <f>SUMIF('Программа пр-ва'!$C$4:$C$23,$C37,'Программа пр-ва'!$D$4:$D$23)*SUMIF($C$5:$C$24,$C37,$D$5:$D$24)*SUMIF($C$5:$C$24,$C37,L$5:L$24)</f>
        <v>0</v>
      </c>
      <c r="M37" s="113">
        <f>SUMIF('Программа пр-ва'!$C$4:$C$23,$C37,'Программа пр-ва'!$D$4:$D$23)*SUMIF($C$5:$C$24,$C37,$D$5:$D$24)*SUMIF($C$5:$C$24,$C37,M$5:M$24)</f>
        <v>0</v>
      </c>
      <c r="N37" s="113">
        <f>SUMIF('Программа пр-ва'!$C$4:$C$23,$C37,'Программа пр-ва'!$D$4:$D$23)*SUMIF($C$5:$C$24,$C37,$D$5:$D$24)*SUMIF($C$5:$C$24,$C37,N$5:N$24)</f>
        <v>0</v>
      </c>
      <c r="O37" s="113">
        <f>SUMIF('Программа пр-ва'!$C$4:$C$23,$C37,'Программа пр-ва'!$D$4:$D$23)*SUMIF($C$5:$C$24,$C37,$D$5:$D$24)*SUMIF($C$5:$C$24,$C37,O$5:O$24)</f>
        <v>0</v>
      </c>
      <c r="P37" s="191">
        <f>SUMIF('Программа пр-ва'!$C$4:$C$23,$C37,'Программа пр-ва'!$D$4:$D$23)*SUMIF($C$5:$C$24,$C37,$D$5:$D$24)*SUMIF($C$5:$C$24,$C37,P$5:P$24)</f>
        <v>0</v>
      </c>
      <c r="Q37" s="194">
        <f t="shared" si="0"/>
        <v>0</v>
      </c>
    </row>
    <row r="38" spans="1:17" ht="10.5">
      <c r="A38" s="81" t="s">
        <v>28</v>
      </c>
      <c r="B38" s="82" t="str">
        <f>VLOOKUP(A38,Классификаторы!$A:$B,2,FALSE)</f>
        <v>Цех 3</v>
      </c>
      <c r="C38" s="188" t="s">
        <v>391</v>
      </c>
      <c r="D38" s="19"/>
      <c r="E38" s="113">
        <f>SUMIF('Программа пр-ва'!$C$4:$C$23,$C38,'Программа пр-ва'!$D$4:$D$23)*SUMIF($C$5:$C$24,$C38,$D$5:$D$24)*SUMIF($C$5:$C$24,$C38,E$5:E$24)</f>
        <v>0</v>
      </c>
      <c r="F38" s="113">
        <f>SUMIF('Программа пр-ва'!$C$4:$C$23,$C38,'Программа пр-ва'!$D$4:$D$23)*SUMIF($C$5:$C$24,$C38,$D$5:$D$24)*SUMIF($C$5:$C$24,$C38,F$5:F$24)</f>
        <v>0</v>
      </c>
      <c r="G38" s="113">
        <f>SUMIF('Программа пр-ва'!$C$4:$C$23,$C38,'Программа пр-ва'!$D$4:$D$23)*SUMIF($C$5:$C$24,$C38,$D$5:$D$24)*SUMIF($C$5:$C$24,$C38,G$5:G$24)</f>
        <v>0</v>
      </c>
      <c r="H38" s="113">
        <f>SUMIF('Программа пр-ва'!$C$4:$C$23,$C38,'Программа пр-ва'!$D$4:$D$23)*SUMIF($C$5:$C$24,$C38,$D$5:$D$24)*SUMIF($C$5:$C$24,$C38,H$5:H$24)</f>
        <v>0</v>
      </c>
      <c r="I38" s="113">
        <f>SUMIF('Программа пр-ва'!$C$4:$C$23,$C38,'Программа пр-ва'!$D$4:$D$23)*SUMIF($C$5:$C$24,$C38,$D$5:$D$24)*SUMIF($C$5:$C$24,$C38,I$5:I$24)</f>
        <v>0</v>
      </c>
      <c r="J38" s="113">
        <f>SUMIF('Программа пр-ва'!$C$4:$C$23,$C38,'Программа пр-ва'!$D$4:$D$23)*SUMIF($C$5:$C$24,$C38,$D$5:$D$24)*SUMIF($C$5:$C$24,$C38,J$5:J$24)</f>
        <v>0</v>
      </c>
      <c r="K38" s="113">
        <f>SUMIF('Программа пр-ва'!$C$4:$C$23,$C38,'Программа пр-ва'!$D$4:$D$23)*SUMIF($C$5:$C$24,$C38,$D$5:$D$24)*SUMIF($C$5:$C$24,$C38,K$5:K$24)</f>
        <v>0</v>
      </c>
      <c r="L38" s="113">
        <f>SUMIF('Программа пр-ва'!$C$4:$C$23,$C38,'Программа пр-ва'!$D$4:$D$23)*SUMIF($C$5:$C$24,$C38,$D$5:$D$24)*SUMIF($C$5:$C$24,$C38,L$5:L$24)</f>
        <v>0</v>
      </c>
      <c r="M38" s="113">
        <f>SUMIF('Программа пр-ва'!$C$4:$C$23,$C38,'Программа пр-ва'!$D$4:$D$23)*SUMIF($C$5:$C$24,$C38,$D$5:$D$24)*SUMIF($C$5:$C$24,$C38,M$5:M$24)</f>
        <v>0</v>
      </c>
      <c r="N38" s="113">
        <f>SUMIF('Программа пр-ва'!$C$4:$C$23,$C38,'Программа пр-ва'!$D$4:$D$23)*SUMIF($C$5:$C$24,$C38,$D$5:$D$24)*SUMIF($C$5:$C$24,$C38,N$5:N$24)</f>
        <v>0</v>
      </c>
      <c r="O38" s="113">
        <f>SUMIF('Программа пр-ва'!$C$4:$C$23,$C38,'Программа пр-ва'!$D$4:$D$23)*SUMIF($C$5:$C$24,$C38,$D$5:$D$24)*SUMIF($C$5:$C$24,$C38,O$5:O$24)</f>
        <v>0</v>
      </c>
      <c r="P38" s="191">
        <f>SUMIF('Программа пр-ва'!$C$4:$C$23,$C38,'Программа пр-ва'!$D$4:$D$23)*SUMIF($C$5:$C$24,$C38,$D$5:$D$24)*SUMIF($C$5:$C$24,$C38,P$5:P$24)</f>
        <v>0</v>
      </c>
      <c r="Q38" s="194">
        <f t="shared" si="0"/>
        <v>0</v>
      </c>
    </row>
    <row r="39" spans="1:17" ht="10.5">
      <c r="A39" s="81" t="s">
        <v>28</v>
      </c>
      <c r="B39" s="82" t="str">
        <f>VLOOKUP(A39,Классификаторы!$A:$B,2,FALSE)</f>
        <v>Цех 3</v>
      </c>
      <c r="C39" s="188" t="s">
        <v>392</v>
      </c>
      <c r="D39" s="19"/>
      <c r="E39" s="113">
        <f>SUMIF('Программа пр-ва'!$C$4:$C$23,$C39,'Программа пр-ва'!$D$4:$D$23)*SUMIF($C$5:$C$24,$C39,$D$5:$D$24)*SUMIF($C$5:$C$24,$C39,E$5:E$24)</f>
        <v>0</v>
      </c>
      <c r="F39" s="113">
        <f>SUMIF('Программа пр-ва'!$C$4:$C$23,$C39,'Программа пр-ва'!$D$4:$D$23)*SUMIF($C$5:$C$24,$C39,$D$5:$D$24)*SUMIF($C$5:$C$24,$C39,F$5:F$24)</f>
        <v>0</v>
      </c>
      <c r="G39" s="113">
        <f>SUMIF('Программа пр-ва'!$C$4:$C$23,$C39,'Программа пр-ва'!$D$4:$D$23)*SUMIF($C$5:$C$24,$C39,$D$5:$D$24)*SUMIF($C$5:$C$24,$C39,G$5:G$24)</f>
        <v>0</v>
      </c>
      <c r="H39" s="113">
        <f>SUMIF('Программа пр-ва'!$C$4:$C$23,$C39,'Программа пр-ва'!$D$4:$D$23)*SUMIF($C$5:$C$24,$C39,$D$5:$D$24)*SUMIF($C$5:$C$24,$C39,H$5:H$24)</f>
        <v>0</v>
      </c>
      <c r="I39" s="113">
        <f>SUMIF('Программа пр-ва'!$C$4:$C$23,$C39,'Программа пр-ва'!$D$4:$D$23)*SUMIF($C$5:$C$24,$C39,$D$5:$D$24)*SUMIF($C$5:$C$24,$C39,I$5:I$24)</f>
        <v>0</v>
      </c>
      <c r="J39" s="113">
        <f>SUMIF('Программа пр-ва'!$C$4:$C$23,$C39,'Программа пр-ва'!$D$4:$D$23)*SUMIF($C$5:$C$24,$C39,$D$5:$D$24)*SUMIF($C$5:$C$24,$C39,J$5:J$24)</f>
        <v>0</v>
      </c>
      <c r="K39" s="113">
        <f>SUMIF('Программа пр-ва'!$C$4:$C$23,$C39,'Программа пр-ва'!$D$4:$D$23)*SUMIF($C$5:$C$24,$C39,$D$5:$D$24)*SUMIF($C$5:$C$24,$C39,K$5:K$24)</f>
        <v>0</v>
      </c>
      <c r="L39" s="113">
        <f>SUMIF('Программа пр-ва'!$C$4:$C$23,$C39,'Программа пр-ва'!$D$4:$D$23)*SUMIF($C$5:$C$24,$C39,$D$5:$D$24)*SUMIF($C$5:$C$24,$C39,L$5:L$24)</f>
        <v>0</v>
      </c>
      <c r="M39" s="113">
        <f>SUMIF('Программа пр-ва'!$C$4:$C$23,$C39,'Программа пр-ва'!$D$4:$D$23)*SUMIF($C$5:$C$24,$C39,$D$5:$D$24)*SUMIF($C$5:$C$24,$C39,M$5:M$24)</f>
        <v>0</v>
      </c>
      <c r="N39" s="113">
        <f>SUMIF('Программа пр-ва'!$C$4:$C$23,$C39,'Программа пр-ва'!$D$4:$D$23)*SUMIF($C$5:$C$24,$C39,$D$5:$D$24)*SUMIF($C$5:$C$24,$C39,N$5:N$24)</f>
        <v>0</v>
      </c>
      <c r="O39" s="113">
        <f>SUMIF('Программа пр-ва'!$C$4:$C$23,$C39,'Программа пр-ва'!$D$4:$D$23)*SUMIF($C$5:$C$24,$C39,$D$5:$D$24)*SUMIF($C$5:$C$24,$C39,O$5:O$24)</f>
        <v>0</v>
      </c>
      <c r="P39" s="191">
        <f>SUMIF('Программа пр-ва'!$C$4:$C$23,$C39,'Программа пр-ва'!$D$4:$D$23)*SUMIF($C$5:$C$24,$C39,$D$5:$D$24)*SUMIF($C$5:$C$24,$C39,P$5:P$24)</f>
        <v>0</v>
      </c>
      <c r="Q39" s="194">
        <f t="shared" si="0"/>
        <v>0</v>
      </c>
    </row>
    <row r="40" spans="1:17" ht="10.5">
      <c r="A40" s="81" t="s">
        <v>28</v>
      </c>
      <c r="B40" s="82" t="str">
        <f>VLOOKUP(A40,Классификаторы!$A:$B,2,FALSE)</f>
        <v>Цех 3</v>
      </c>
      <c r="C40" s="188" t="s">
        <v>393</v>
      </c>
      <c r="D40" s="19"/>
      <c r="E40" s="113">
        <f>SUMIF('Программа пр-ва'!$C$4:$C$23,$C40,'Программа пр-ва'!$D$4:$D$23)*SUMIF($C$5:$C$24,$C40,$D$5:$D$24)*SUMIF($C$5:$C$24,$C40,E$5:E$24)</f>
        <v>0</v>
      </c>
      <c r="F40" s="113">
        <f>SUMIF('Программа пр-ва'!$C$4:$C$23,$C40,'Программа пр-ва'!$D$4:$D$23)*SUMIF($C$5:$C$24,$C40,$D$5:$D$24)*SUMIF($C$5:$C$24,$C40,F$5:F$24)</f>
        <v>0</v>
      </c>
      <c r="G40" s="113">
        <f>SUMIF('Программа пр-ва'!$C$4:$C$23,$C40,'Программа пр-ва'!$D$4:$D$23)*SUMIF($C$5:$C$24,$C40,$D$5:$D$24)*SUMIF($C$5:$C$24,$C40,G$5:G$24)</f>
        <v>0</v>
      </c>
      <c r="H40" s="113">
        <f>SUMIF('Программа пр-ва'!$C$4:$C$23,$C40,'Программа пр-ва'!$D$4:$D$23)*SUMIF($C$5:$C$24,$C40,$D$5:$D$24)*SUMIF($C$5:$C$24,$C40,H$5:H$24)</f>
        <v>0</v>
      </c>
      <c r="I40" s="113">
        <f>SUMIF('Программа пр-ва'!$C$4:$C$23,$C40,'Программа пр-ва'!$D$4:$D$23)*SUMIF($C$5:$C$24,$C40,$D$5:$D$24)*SUMIF($C$5:$C$24,$C40,I$5:I$24)</f>
        <v>0</v>
      </c>
      <c r="J40" s="113">
        <f>SUMIF('Программа пр-ва'!$C$4:$C$23,$C40,'Программа пр-ва'!$D$4:$D$23)*SUMIF($C$5:$C$24,$C40,$D$5:$D$24)*SUMIF($C$5:$C$24,$C40,J$5:J$24)</f>
        <v>0</v>
      </c>
      <c r="K40" s="113">
        <f>SUMIF('Программа пр-ва'!$C$4:$C$23,$C40,'Программа пр-ва'!$D$4:$D$23)*SUMIF($C$5:$C$24,$C40,$D$5:$D$24)*SUMIF($C$5:$C$24,$C40,K$5:K$24)</f>
        <v>0</v>
      </c>
      <c r="L40" s="113">
        <f>SUMIF('Программа пр-ва'!$C$4:$C$23,$C40,'Программа пр-ва'!$D$4:$D$23)*SUMIF($C$5:$C$24,$C40,$D$5:$D$24)*SUMIF($C$5:$C$24,$C40,L$5:L$24)</f>
        <v>0</v>
      </c>
      <c r="M40" s="113">
        <f>SUMIF('Программа пр-ва'!$C$4:$C$23,$C40,'Программа пр-ва'!$D$4:$D$23)*SUMIF($C$5:$C$24,$C40,$D$5:$D$24)*SUMIF($C$5:$C$24,$C40,M$5:M$24)</f>
        <v>0</v>
      </c>
      <c r="N40" s="113">
        <f>SUMIF('Программа пр-ва'!$C$4:$C$23,$C40,'Программа пр-ва'!$D$4:$D$23)*SUMIF($C$5:$C$24,$C40,$D$5:$D$24)*SUMIF($C$5:$C$24,$C40,N$5:N$24)</f>
        <v>0</v>
      </c>
      <c r="O40" s="113">
        <f>SUMIF('Программа пр-ва'!$C$4:$C$23,$C40,'Программа пр-ва'!$D$4:$D$23)*SUMIF($C$5:$C$24,$C40,$D$5:$D$24)*SUMIF($C$5:$C$24,$C40,O$5:O$24)</f>
        <v>0</v>
      </c>
      <c r="P40" s="191">
        <f>SUMIF('Программа пр-ва'!$C$4:$C$23,$C40,'Программа пр-ва'!$D$4:$D$23)*SUMIF($C$5:$C$24,$C40,$D$5:$D$24)*SUMIF($C$5:$C$24,$C40,P$5:P$24)</f>
        <v>0</v>
      </c>
      <c r="Q40" s="194">
        <f t="shared" si="0"/>
        <v>0</v>
      </c>
    </row>
    <row r="41" spans="1:17" ht="10.5">
      <c r="A41" s="81" t="s">
        <v>28</v>
      </c>
      <c r="B41" s="82" t="str">
        <f>VLOOKUP(A41,Классификаторы!$A:$B,2,FALSE)</f>
        <v>Цех 3</v>
      </c>
      <c r="C41" s="188" t="s">
        <v>394</v>
      </c>
      <c r="D41" s="19"/>
      <c r="E41" s="113">
        <f>SUMIF('Программа пр-ва'!$C$4:$C$23,$C41,'Программа пр-ва'!$D$4:$D$23)*SUMIF($C$5:$C$24,$C41,$D$5:$D$24)*SUMIF($C$5:$C$24,$C41,E$5:E$24)</f>
        <v>0</v>
      </c>
      <c r="F41" s="113">
        <f>SUMIF('Программа пр-ва'!$C$4:$C$23,$C41,'Программа пр-ва'!$D$4:$D$23)*SUMIF($C$5:$C$24,$C41,$D$5:$D$24)*SUMIF($C$5:$C$24,$C41,F$5:F$24)</f>
        <v>0</v>
      </c>
      <c r="G41" s="113">
        <f>SUMIF('Программа пр-ва'!$C$4:$C$23,$C41,'Программа пр-ва'!$D$4:$D$23)*SUMIF($C$5:$C$24,$C41,$D$5:$D$24)*SUMIF($C$5:$C$24,$C41,G$5:G$24)</f>
        <v>0</v>
      </c>
      <c r="H41" s="113">
        <f>SUMIF('Программа пр-ва'!$C$4:$C$23,$C41,'Программа пр-ва'!$D$4:$D$23)*SUMIF($C$5:$C$24,$C41,$D$5:$D$24)*SUMIF($C$5:$C$24,$C41,H$5:H$24)</f>
        <v>0</v>
      </c>
      <c r="I41" s="113">
        <f>SUMIF('Программа пр-ва'!$C$4:$C$23,$C41,'Программа пр-ва'!$D$4:$D$23)*SUMIF($C$5:$C$24,$C41,$D$5:$D$24)*SUMIF($C$5:$C$24,$C41,I$5:I$24)</f>
        <v>0</v>
      </c>
      <c r="J41" s="113">
        <f>SUMIF('Программа пр-ва'!$C$4:$C$23,$C41,'Программа пр-ва'!$D$4:$D$23)*SUMIF($C$5:$C$24,$C41,$D$5:$D$24)*SUMIF($C$5:$C$24,$C41,J$5:J$24)</f>
        <v>0</v>
      </c>
      <c r="K41" s="113">
        <f>SUMIF('Программа пр-ва'!$C$4:$C$23,$C41,'Программа пр-ва'!$D$4:$D$23)*SUMIF($C$5:$C$24,$C41,$D$5:$D$24)*SUMIF($C$5:$C$24,$C41,K$5:K$24)</f>
        <v>0</v>
      </c>
      <c r="L41" s="113">
        <f>SUMIF('Программа пр-ва'!$C$4:$C$23,$C41,'Программа пр-ва'!$D$4:$D$23)*SUMIF($C$5:$C$24,$C41,$D$5:$D$24)*SUMIF($C$5:$C$24,$C41,L$5:L$24)</f>
        <v>0</v>
      </c>
      <c r="M41" s="113">
        <f>SUMIF('Программа пр-ва'!$C$4:$C$23,$C41,'Программа пр-ва'!$D$4:$D$23)*SUMIF($C$5:$C$24,$C41,$D$5:$D$24)*SUMIF($C$5:$C$24,$C41,M$5:M$24)</f>
        <v>0</v>
      </c>
      <c r="N41" s="113">
        <f>SUMIF('Программа пр-ва'!$C$4:$C$23,$C41,'Программа пр-ва'!$D$4:$D$23)*SUMIF($C$5:$C$24,$C41,$D$5:$D$24)*SUMIF($C$5:$C$24,$C41,N$5:N$24)</f>
        <v>0</v>
      </c>
      <c r="O41" s="113">
        <f>SUMIF('Программа пр-ва'!$C$4:$C$23,$C41,'Программа пр-ва'!$D$4:$D$23)*SUMIF($C$5:$C$24,$C41,$D$5:$D$24)*SUMIF($C$5:$C$24,$C41,O$5:O$24)</f>
        <v>0</v>
      </c>
      <c r="P41" s="191">
        <f>SUMIF('Программа пр-ва'!$C$4:$C$23,$C41,'Программа пр-ва'!$D$4:$D$23)*SUMIF($C$5:$C$24,$C41,$D$5:$D$24)*SUMIF($C$5:$C$24,$C41,P$5:P$24)</f>
        <v>0</v>
      </c>
      <c r="Q41" s="194">
        <f t="shared" si="0"/>
        <v>0</v>
      </c>
    </row>
    <row r="42" spans="1:17" ht="10.5">
      <c r="A42" s="81" t="s">
        <v>28</v>
      </c>
      <c r="B42" s="82" t="str">
        <f>VLOOKUP(A42,Классификаторы!$A:$B,2,FALSE)</f>
        <v>Цех 3</v>
      </c>
      <c r="C42" s="188" t="s">
        <v>395</v>
      </c>
      <c r="D42" s="19"/>
      <c r="E42" s="113">
        <f>SUMIF('Программа пр-ва'!$C$4:$C$23,$C42,'Программа пр-ва'!$D$4:$D$23)*SUMIF($C$5:$C$24,$C42,$D$5:$D$24)*SUMIF($C$5:$C$24,$C42,E$5:E$24)</f>
        <v>0</v>
      </c>
      <c r="F42" s="113">
        <f>SUMIF('Программа пр-ва'!$C$4:$C$23,$C42,'Программа пр-ва'!$D$4:$D$23)*SUMIF($C$5:$C$24,$C42,$D$5:$D$24)*SUMIF($C$5:$C$24,$C42,F$5:F$24)</f>
        <v>0</v>
      </c>
      <c r="G42" s="113">
        <f>SUMIF('Программа пр-ва'!$C$4:$C$23,$C42,'Программа пр-ва'!$D$4:$D$23)*SUMIF($C$5:$C$24,$C42,$D$5:$D$24)*SUMIF($C$5:$C$24,$C42,G$5:G$24)</f>
        <v>0</v>
      </c>
      <c r="H42" s="113">
        <f>SUMIF('Программа пр-ва'!$C$4:$C$23,$C42,'Программа пр-ва'!$D$4:$D$23)*SUMIF($C$5:$C$24,$C42,$D$5:$D$24)*SUMIF($C$5:$C$24,$C42,H$5:H$24)</f>
        <v>0</v>
      </c>
      <c r="I42" s="113">
        <f>SUMIF('Программа пр-ва'!$C$4:$C$23,$C42,'Программа пр-ва'!$D$4:$D$23)*SUMIF($C$5:$C$24,$C42,$D$5:$D$24)*SUMIF($C$5:$C$24,$C42,I$5:I$24)</f>
        <v>0</v>
      </c>
      <c r="J42" s="113">
        <f>SUMIF('Программа пр-ва'!$C$4:$C$23,$C42,'Программа пр-ва'!$D$4:$D$23)*SUMIF($C$5:$C$24,$C42,$D$5:$D$24)*SUMIF($C$5:$C$24,$C42,J$5:J$24)</f>
        <v>0</v>
      </c>
      <c r="K42" s="113">
        <f>SUMIF('Программа пр-ва'!$C$4:$C$23,$C42,'Программа пр-ва'!$D$4:$D$23)*SUMIF($C$5:$C$24,$C42,$D$5:$D$24)*SUMIF($C$5:$C$24,$C42,K$5:K$24)</f>
        <v>0</v>
      </c>
      <c r="L42" s="113">
        <f>SUMIF('Программа пр-ва'!$C$4:$C$23,$C42,'Программа пр-ва'!$D$4:$D$23)*SUMIF($C$5:$C$24,$C42,$D$5:$D$24)*SUMIF($C$5:$C$24,$C42,L$5:L$24)</f>
        <v>0</v>
      </c>
      <c r="M42" s="113">
        <f>SUMIF('Программа пр-ва'!$C$4:$C$23,$C42,'Программа пр-ва'!$D$4:$D$23)*SUMIF($C$5:$C$24,$C42,$D$5:$D$24)*SUMIF($C$5:$C$24,$C42,M$5:M$24)</f>
        <v>0</v>
      </c>
      <c r="N42" s="113">
        <f>SUMIF('Программа пр-ва'!$C$4:$C$23,$C42,'Программа пр-ва'!$D$4:$D$23)*SUMIF($C$5:$C$24,$C42,$D$5:$D$24)*SUMIF($C$5:$C$24,$C42,N$5:N$24)</f>
        <v>0</v>
      </c>
      <c r="O42" s="113">
        <f>SUMIF('Программа пр-ва'!$C$4:$C$23,$C42,'Программа пр-ва'!$D$4:$D$23)*SUMIF($C$5:$C$24,$C42,$D$5:$D$24)*SUMIF($C$5:$C$24,$C42,O$5:O$24)</f>
        <v>0</v>
      </c>
      <c r="P42" s="191">
        <f>SUMIF('Программа пр-ва'!$C$4:$C$23,$C42,'Программа пр-ва'!$D$4:$D$23)*SUMIF($C$5:$C$24,$C42,$D$5:$D$24)*SUMIF($C$5:$C$24,$C42,P$5:P$24)</f>
        <v>0</v>
      </c>
      <c r="Q42" s="194">
        <f t="shared" si="0"/>
        <v>0</v>
      </c>
    </row>
    <row r="43" spans="1:17" ht="10.5">
      <c r="A43" s="81" t="s">
        <v>28</v>
      </c>
      <c r="B43" s="82" t="str">
        <f>VLOOKUP(A43,Классификаторы!$A:$B,2,FALSE)</f>
        <v>Цех 3</v>
      </c>
      <c r="C43" s="188" t="s">
        <v>396</v>
      </c>
      <c r="D43" s="19"/>
      <c r="E43" s="113">
        <f>SUMIF('Программа пр-ва'!$C$4:$C$23,$C43,'Программа пр-ва'!$D$4:$D$23)*SUMIF($C$5:$C$24,$C43,$D$5:$D$24)*SUMIF($C$5:$C$24,$C43,E$5:E$24)</f>
        <v>0</v>
      </c>
      <c r="F43" s="113">
        <f>SUMIF('Программа пр-ва'!$C$4:$C$23,$C43,'Программа пр-ва'!$D$4:$D$23)*SUMIF($C$5:$C$24,$C43,$D$5:$D$24)*SUMIF($C$5:$C$24,$C43,F$5:F$24)</f>
        <v>0</v>
      </c>
      <c r="G43" s="113">
        <f>SUMIF('Программа пр-ва'!$C$4:$C$23,$C43,'Программа пр-ва'!$D$4:$D$23)*SUMIF($C$5:$C$24,$C43,$D$5:$D$24)*SUMIF($C$5:$C$24,$C43,G$5:G$24)</f>
        <v>0</v>
      </c>
      <c r="H43" s="113">
        <f>SUMIF('Программа пр-ва'!$C$4:$C$23,$C43,'Программа пр-ва'!$D$4:$D$23)*SUMIF($C$5:$C$24,$C43,$D$5:$D$24)*SUMIF($C$5:$C$24,$C43,H$5:H$24)</f>
        <v>0</v>
      </c>
      <c r="I43" s="113">
        <f>SUMIF('Программа пр-ва'!$C$4:$C$23,$C43,'Программа пр-ва'!$D$4:$D$23)*SUMIF($C$5:$C$24,$C43,$D$5:$D$24)*SUMIF($C$5:$C$24,$C43,I$5:I$24)</f>
        <v>0</v>
      </c>
      <c r="J43" s="113">
        <f>SUMIF('Программа пр-ва'!$C$4:$C$23,$C43,'Программа пр-ва'!$D$4:$D$23)*SUMIF($C$5:$C$24,$C43,$D$5:$D$24)*SUMIF($C$5:$C$24,$C43,J$5:J$24)</f>
        <v>0</v>
      </c>
      <c r="K43" s="113">
        <f>SUMIF('Программа пр-ва'!$C$4:$C$23,$C43,'Программа пр-ва'!$D$4:$D$23)*SUMIF($C$5:$C$24,$C43,$D$5:$D$24)*SUMIF($C$5:$C$24,$C43,K$5:K$24)</f>
        <v>0</v>
      </c>
      <c r="L43" s="113">
        <f>SUMIF('Программа пр-ва'!$C$4:$C$23,$C43,'Программа пр-ва'!$D$4:$D$23)*SUMIF($C$5:$C$24,$C43,$D$5:$D$24)*SUMIF($C$5:$C$24,$C43,L$5:L$24)</f>
        <v>0</v>
      </c>
      <c r="M43" s="113">
        <f>SUMIF('Программа пр-ва'!$C$4:$C$23,$C43,'Программа пр-ва'!$D$4:$D$23)*SUMIF($C$5:$C$24,$C43,$D$5:$D$24)*SUMIF($C$5:$C$24,$C43,M$5:M$24)</f>
        <v>0</v>
      </c>
      <c r="N43" s="113">
        <f>SUMIF('Программа пр-ва'!$C$4:$C$23,$C43,'Программа пр-ва'!$D$4:$D$23)*SUMIF($C$5:$C$24,$C43,$D$5:$D$24)*SUMIF($C$5:$C$24,$C43,N$5:N$24)</f>
        <v>0</v>
      </c>
      <c r="O43" s="113">
        <f>SUMIF('Программа пр-ва'!$C$4:$C$23,$C43,'Программа пр-ва'!$D$4:$D$23)*SUMIF($C$5:$C$24,$C43,$D$5:$D$24)*SUMIF($C$5:$C$24,$C43,O$5:O$24)</f>
        <v>0</v>
      </c>
      <c r="P43" s="191">
        <f>SUMIF('Программа пр-ва'!$C$4:$C$23,$C43,'Программа пр-ва'!$D$4:$D$23)*SUMIF($C$5:$C$24,$C43,$D$5:$D$24)*SUMIF($C$5:$C$24,$C43,P$5:P$24)</f>
        <v>0</v>
      </c>
      <c r="Q43" s="194">
        <f t="shared" si="0"/>
        <v>0</v>
      </c>
    </row>
    <row r="44" spans="1:17" ht="10.5">
      <c r="A44" s="81" t="s">
        <v>28</v>
      </c>
      <c r="B44" s="82" t="str">
        <f>VLOOKUP(A44,Классификаторы!$A:$B,2,FALSE)</f>
        <v>Цех 3</v>
      </c>
      <c r="C44" s="188" t="s">
        <v>397</v>
      </c>
      <c r="D44" s="19"/>
      <c r="E44" s="113">
        <f>SUMIF('Программа пр-ва'!$C$4:$C$23,$C44,'Программа пр-ва'!$D$4:$D$23)*SUMIF($C$5:$C$24,$C44,$D$5:$D$24)*SUMIF($C$5:$C$24,$C44,E$5:E$24)</f>
        <v>0</v>
      </c>
      <c r="F44" s="113">
        <f>SUMIF('Программа пр-ва'!$C$4:$C$23,$C44,'Программа пр-ва'!$D$4:$D$23)*SUMIF($C$5:$C$24,$C44,$D$5:$D$24)*SUMIF($C$5:$C$24,$C44,F$5:F$24)</f>
        <v>0</v>
      </c>
      <c r="G44" s="113">
        <f>SUMIF('Программа пр-ва'!$C$4:$C$23,$C44,'Программа пр-ва'!$D$4:$D$23)*SUMIF($C$5:$C$24,$C44,$D$5:$D$24)*SUMIF($C$5:$C$24,$C44,G$5:G$24)</f>
        <v>0</v>
      </c>
      <c r="H44" s="113">
        <f>SUMIF('Программа пр-ва'!$C$4:$C$23,$C44,'Программа пр-ва'!$D$4:$D$23)*SUMIF($C$5:$C$24,$C44,$D$5:$D$24)*SUMIF($C$5:$C$24,$C44,H$5:H$24)</f>
        <v>0</v>
      </c>
      <c r="I44" s="113">
        <f>SUMIF('Программа пр-ва'!$C$4:$C$23,$C44,'Программа пр-ва'!$D$4:$D$23)*SUMIF($C$5:$C$24,$C44,$D$5:$D$24)*SUMIF($C$5:$C$24,$C44,I$5:I$24)</f>
        <v>0</v>
      </c>
      <c r="J44" s="113">
        <f>SUMIF('Программа пр-ва'!$C$4:$C$23,$C44,'Программа пр-ва'!$D$4:$D$23)*SUMIF($C$5:$C$24,$C44,$D$5:$D$24)*SUMIF($C$5:$C$24,$C44,J$5:J$24)</f>
        <v>0</v>
      </c>
      <c r="K44" s="113">
        <f>SUMIF('Программа пр-ва'!$C$4:$C$23,$C44,'Программа пр-ва'!$D$4:$D$23)*SUMIF($C$5:$C$24,$C44,$D$5:$D$24)*SUMIF($C$5:$C$24,$C44,K$5:K$24)</f>
        <v>0</v>
      </c>
      <c r="L44" s="113">
        <f>SUMIF('Программа пр-ва'!$C$4:$C$23,$C44,'Программа пр-ва'!$D$4:$D$23)*SUMIF($C$5:$C$24,$C44,$D$5:$D$24)*SUMIF($C$5:$C$24,$C44,L$5:L$24)</f>
        <v>0</v>
      </c>
      <c r="M44" s="113">
        <f>SUMIF('Программа пр-ва'!$C$4:$C$23,$C44,'Программа пр-ва'!$D$4:$D$23)*SUMIF($C$5:$C$24,$C44,$D$5:$D$24)*SUMIF($C$5:$C$24,$C44,M$5:M$24)</f>
        <v>0</v>
      </c>
      <c r="N44" s="113">
        <f>SUMIF('Программа пр-ва'!$C$4:$C$23,$C44,'Программа пр-ва'!$D$4:$D$23)*SUMIF($C$5:$C$24,$C44,$D$5:$D$24)*SUMIF($C$5:$C$24,$C44,N$5:N$24)</f>
        <v>0</v>
      </c>
      <c r="O44" s="113">
        <f>SUMIF('Программа пр-ва'!$C$4:$C$23,$C44,'Программа пр-ва'!$D$4:$D$23)*SUMIF($C$5:$C$24,$C44,$D$5:$D$24)*SUMIF($C$5:$C$24,$C44,O$5:O$24)</f>
        <v>0</v>
      </c>
      <c r="P44" s="191">
        <f>SUMIF('Программа пр-ва'!$C$4:$C$23,$C44,'Программа пр-ва'!$D$4:$D$23)*SUMIF($C$5:$C$24,$C44,$D$5:$D$24)*SUMIF($C$5:$C$24,$C44,P$5:P$24)</f>
        <v>0</v>
      </c>
      <c r="Q44" s="194">
        <f t="shared" si="0"/>
        <v>0</v>
      </c>
    </row>
    <row r="45" spans="1:17" ht="10.5">
      <c r="A45" s="81" t="s">
        <v>28</v>
      </c>
      <c r="B45" s="82" t="str">
        <f>VLOOKUP(A45,Классификаторы!$A:$B,2,FALSE)</f>
        <v>Цех 3</v>
      </c>
      <c r="C45" s="188" t="s">
        <v>399</v>
      </c>
      <c r="D45" s="19"/>
      <c r="E45" s="113">
        <f>SUMIF('Программа пр-ва'!$C$4:$C$23,$C45,'Программа пр-ва'!$D$4:$D$23)*SUMIF($C$5:$C$24,$C45,$D$5:$D$24)*SUMIF($C$5:$C$24,$C45,E$5:E$24)</f>
        <v>0</v>
      </c>
      <c r="F45" s="113">
        <f>SUMIF('Программа пр-ва'!$C$4:$C$23,$C45,'Программа пр-ва'!$D$4:$D$23)*SUMIF($C$5:$C$24,$C45,$D$5:$D$24)*SUMIF($C$5:$C$24,$C45,F$5:F$24)</f>
        <v>0</v>
      </c>
      <c r="G45" s="113">
        <f>SUMIF('Программа пр-ва'!$C$4:$C$23,$C45,'Программа пр-ва'!$D$4:$D$23)*SUMIF($C$5:$C$24,$C45,$D$5:$D$24)*SUMIF($C$5:$C$24,$C45,G$5:G$24)</f>
        <v>0</v>
      </c>
      <c r="H45" s="113">
        <f>SUMIF('Программа пр-ва'!$C$4:$C$23,$C45,'Программа пр-ва'!$D$4:$D$23)*SUMIF($C$5:$C$24,$C45,$D$5:$D$24)*SUMIF($C$5:$C$24,$C45,H$5:H$24)</f>
        <v>0</v>
      </c>
      <c r="I45" s="113">
        <f>SUMIF('Программа пр-ва'!$C$4:$C$23,$C45,'Программа пр-ва'!$D$4:$D$23)*SUMIF($C$5:$C$24,$C45,$D$5:$D$24)*SUMIF($C$5:$C$24,$C45,I$5:I$24)</f>
        <v>0</v>
      </c>
      <c r="J45" s="113">
        <f>SUMIF('Программа пр-ва'!$C$4:$C$23,$C45,'Программа пр-ва'!$D$4:$D$23)*SUMIF($C$5:$C$24,$C45,$D$5:$D$24)*SUMIF($C$5:$C$24,$C45,J$5:J$24)</f>
        <v>0</v>
      </c>
      <c r="K45" s="113">
        <f>SUMIF('Программа пр-ва'!$C$4:$C$23,$C45,'Программа пр-ва'!$D$4:$D$23)*SUMIF($C$5:$C$24,$C45,$D$5:$D$24)*SUMIF($C$5:$C$24,$C45,K$5:K$24)</f>
        <v>0</v>
      </c>
      <c r="L45" s="113">
        <f>SUMIF('Программа пр-ва'!$C$4:$C$23,$C45,'Программа пр-ва'!$D$4:$D$23)*SUMIF($C$5:$C$24,$C45,$D$5:$D$24)*SUMIF($C$5:$C$24,$C45,L$5:L$24)</f>
        <v>0</v>
      </c>
      <c r="M45" s="113">
        <f>SUMIF('Программа пр-ва'!$C$4:$C$23,$C45,'Программа пр-ва'!$D$4:$D$23)*SUMIF($C$5:$C$24,$C45,$D$5:$D$24)*SUMIF($C$5:$C$24,$C45,M$5:M$24)</f>
        <v>0</v>
      </c>
      <c r="N45" s="113">
        <f>SUMIF('Программа пр-ва'!$C$4:$C$23,$C45,'Программа пр-ва'!$D$4:$D$23)*SUMIF($C$5:$C$24,$C45,$D$5:$D$24)*SUMIF($C$5:$C$24,$C45,N$5:N$24)</f>
        <v>0</v>
      </c>
      <c r="O45" s="113">
        <f>SUMIF('Программа пр-ва'!$C$4:$C$23,$C45,'Программа пр-ва'!$D$4:$D$23)*SUMIF($C$5:$C$24,$C45,$D$5:$D$24)*SUMIF($C$5:$C$24,$C45,O$5:O$24)</f>
        <v>0</v>
      </c>
      <c r="P45" s="191">
        <f>SUMIF('Программа пр-ва'!$C$4:$C$23,$C45,'Программа пр-ва'!$D$4:$D$23)*SUMIF($C$5:$C$24,$C45,$D$5:$D$24)*SUMIF($C$5:$C$24,$C45,P$5:P$24)</f>
        <v>0</v>
      </c>
      <c r="Q45" s="194">
        <f t="shared" si="0"/>
        <v>0</v>
      </c>
    </row>
    <row r="46" spans="1:17" ht="10.5">
      <c r="A46" s="81" t="s">
        <v>28</v>
      </c>
      <c r="B46" s="82" t="str">
        <f>VLOOKUP(A46,Классификаторы!$A:$B,2,FALSE)</f>
        <v>Цех 3</v>
      </c>
      <c r="C46" s="188" t="s">
        <v>400</v>
      </c>
      <c r="D46" s="19"/>
      <c r="E46" s="113">
        <f>SUMIF('Программа пр-ва'!$C$4:$C$23,$C46,'Программа пр-ва'!$D$4:$D$23)*SUMIF($C$5:$C$24,$C46,$D$5:$D$24)*SUMIF($C$5:$C$24,$C46,E$5:E$24)</f>
        <v>0</v>
      </c>
      <c r="F46" s="113">
        <f>SUMIF('Программа пр-ва'!$C$4:$C$23,$C46,'Программа пр-ва'!$D$4:$D$23)*SUMIF($C$5:$C$24,$C46,$D$5:$D$24)*SUMIF($C$5:$C$24,$C46,F$5:F$24)</f>
        <v>0</v>
      </c>
      <c r="G46" s="113">
        <f>SUMIF('Программа пр-ва'!$C$4:$C$23,$C46,'Программа пр-ва'!$D$4:$D$23)*SUMIF($C$5:$C$24,$C46,$D$5:$D$24)*SUMIF($C$5:$C$24,$C46,G$5:G$24)</f>
        <v>0</v>
      </c>
      <c r="H46" s="113">
        <f>SUMIF('Программа пр-ва'!$C$4:$C$23,$C46,'Программа пр-ва'!$D$4:$D$23)*SUMIF($C$5:$C$24,$C46,$D$5:$D$24)*SUMIF($C$5:$C$24,$C46,H$5:H$24)</f>
        <v>0</v>
      </c>
      <c r="I46" s="113">
        <f>SUMIF('Программа пр-ва'!$C$4:$C$23,$C46,'Программа пр-ва'!$D$4:$D$23)*SUMIF($C$5:$C$24,$C46,$D$5:$D$24)*SUMIF($C$5:$C$24,$C46,I$5:I$24)</f>
        <v>0</v>
      </c>
      <c r="J46" s="113">
        <f>SUMIF('Программа пр-ва'!$C$4:$C$23,$C46,'Программа пр-ва'!$D$4:$D$23)*SUMIF($C$5:$C$24,$C46,$D$5:$D$24)*SUMIF($C$5:$C$24,$C46,J$5:J$24)</f>
        <v>0</v>
      </c>
      <c r="K46" s="113">
        <f>SUMIF('Программа пр-ва'!$C$4:$C$23,$C46,'Программа пр-ва'!$D$4:$D$23)*SUMIF($C$5:$C$24,$C46,$D$5:$D$24)*SUMIF($C$5:$C$24,$C46,K$5:K$24)</f>
        <v>0</v>
      </c>
      <c r="L46" s="113">
        <f>SUMIF('Программа пр-ва'!$C$4:$C$23,$C46,'Программа пр-ва'!$D$4:$D$23)*SUMIF($C$5:$C$24,$C46,$D$5:$D$24)*SUMIF($C$5:$C$24,$C46,L$5:L$24)</f>
        <v>0</v>
      </c>
      <c r="M46" s="113">
        <f>SUMIF('Программа пр-ва'!$C$4:$C$23,$C46,'Программа пр-ва'!$D$4:$D$23)*SUMIF($C$5:$C$24,$C46,$D$5:$D$24)*SUMIF($C$5:$C$24,$C46,M$5:M$24)</f>
        <v>0</v>
      </c>
      <c r="N46" s="113">
        <f>SUMIF('Программа пр-ва'!$C$4:$C$23,$C46,'Программа пр-ва'!$D$4:$D$23)*SUMIF($C$5:$C$24,$C46,$D$5:$D$24)*SUMIF($C$5:$C$24,$C46,N$5:N$24)</f>
        <v>0</v>
      </c>
      <c r="O46" s="113">
        <f>SUMIF('Программа пр-ва'!$C$4:$C$23,$C46,'Программа пр-ва'!$D$4:$D$23)*SUMIF($C$5:$C$24,$C46,$D$5:$D$24)*SUMIF($C$5:$C$24,$C46,O$5:O$24)</f>
        <v>0</v>
      </c>
      <c r="P46" s="191">
        <f>SUMIF('Программа пр-ва'!$C$4:$C$23,$C46,'Программа пр-ва'!$D$4:$D$23)*SUMIF($C$5:$C$24,$C46,$D$5:$D$24)*SUMIF($C$5:$C$24,$C46,P$5:P$24)</f>
        <v>0</v>
      </c>
      <c r="Q46" s="194">
        <f t="shared" si="0"/>
        <v>0</v>
      </c>
    </row>
    <row r="47" spans="1:17" ht="10.5">
      <c r="A47" s="81" t="s">
        <v>28</v>
      </c>
      <c r="B47" s="82" t="str">
        <f>VLOOKUP(A47,Классификаторы!$A:$B,2,FALSE)</f>
        <v>Цех 3</v>
      </c>
      <c r="C47" s="188" t="s">
        <v>401</v>
      </c>
      <c r="D47" s="19"/>
      <c r="E47" s="113">
        <f>SUMIF('Программа пр-ва'!$C$4:$C$23,$C47,'Программа пр-ва'!$D$4:$D$23)*SUMIF($C$5:$C$24,$C47,$D$5:$D$24)*SUMIF($C$5:$C$24,$C47,E$5:E$24)</f>
        <v>0</v>
      </c>
      <c r="F47" s="113">
        <f>SUMIF('Программа пр-ва'!$C$4:$C$23,$C47,'Программа пр-ва'!$D$4:$D$23)*SUMIF($C$5:$C$24,$C47,$D$5:$D$24)*SUMIF($C$5:$C$24,$C47,F$5:F$24)</f>
        <v>0</v>
      </c>
      <c r="G47" s="113">
        <f>SUMIF('Программа пр-ва'!$C$4:$C$23,$C47,'Программа пр-ва'!$D$4:$D$23)*SUMIF($C$5:$C$24,$C47,$D$5:$D$24)*SUMIF($C$5:$C$24,$C47,G$5:G$24)</f>
        <v>0</v>
      </c>
      <c r="H47" s="113">
        <f>SUMIF('Программа пр-ва'!$C$4:$C$23,$C47,'Программа пр-ва'!$D$4:$D$23)*SUMIF($C$5:$C$24,$C47,$D$5:$D$24)*SUMIF($C$5:$C$24,$C47,H$5:H$24)</f>
        <v>0</v>
      </c>
      <c r="I47" s="113">
        <f>SUMIF('Программа пр-ва'!$C$4:$C$23,$C47,'Программа пр-ва'!$D$4:$D$23)*SUMIF($C$5:$C$24,$C47,$D$5:$D$24)*SUMIF($C$5:$C$24,$C47,I$5:I$24)</f>
        <v>0</v>
      </c>
      <c r="J47" s="113">
        <f>SUMIF('Программа пр-ва'!$C$4:$C$23,$C47,'Программа пр-ва'!$D$4:$D$23)*SUMIF($C$5:$C$24,$C47,$D$5:$D$24)*SUMIF($C$5:$C$24,$C47,J$5:J$24)</f>
        <v>0</v>
      </c>
      <c r="K47" s="113">
        <f>SUMIF('Программа пр-ва'!$C$4:$C$23,$C47,'Программа пр-ва'!$D$4:$D$23)*SUMIF($C$5:$C$24,$C47,$D$5:$D$24)*SUMIF($C$5:$C$24,$C47,K$5:K$24)</f>
        <v>0</v>
      </c>
      <c r="L47" s="113">
        <f>SUMIF('Программа пр-ва'!$C$4:$C$23,$C47,'Программа пр-ва'!$D$4:$D$23)*SUMIF($C$5:$C$24,$C47,$D$5:$D$24)*SUMIF($C$5:$C$24,$C47,L$5:L$24)</f>
        <v>0</v>
      </c>
      <c r="M47" s="113">
        <f>SUMIF('Программа пр-ва'!$C$4:$C$23,$C47,'Программа пр-ва'!$D$4:$D$23)*SUMIF($C$5:$C$24,$C47,$D$5:$D$24)*SUMIF($C$5:$C$24,$C47,M$5:M$24)</f>
        <v>0</v>
      </c>
      <c r="N47" s="113">
        <f>SUMIF('Программа пр-ва'!$C$4:$C$23,$C47,'Программа пр-ва'!$D$4:$D$23)*SUMIF($C$5:$C$24,$C47,$D$5:$D$24)*SUMIF($C$5:$C$24,$C47,N$5:N$24)</f>
        <v>0</v>
      </c>
      <c r="O47" s="113">
        <f>SUMIF('Программа пр-ва'!$C$4:$C$23,$C47,'Программа пр-ва'!$D$4:$D$23)*SUMIF($C$5:$C$24,$C47,$D$5:$D$24)*SUMIF($C$5:$C$24,$C47,O$5:O$24)</f>
        <v>0</v>
      </c>
      <c r="P47" s="191">
        <f>SUMIF('Программа пр-ва'!$C$4:$C$23,$C47,'Программа пр-ва'!$D$4:$D$23)*SUMIF($C$5:$C$24,$C47,$D$5:$D$24)*SUMIF($C$5:$C$24,$C47,P$5:P$24)</f>
        <v>0</v>
      </c>
      <c r="Q47" s="194">
        <f t="shared" si="0"/>
        <v>0</v>
      </c>
    </row>
    <row r="48" spans="1:17" ht="10.5">
      <c r="A48" s="390"/>
      <c r="B48" s="420" t="s">
        <v>64</v>
      </c>
      <c r="C48" s="314" t="s">
        <v>342</v>
      </c>
      <c r="D48" s="327"/>
      <c r="E48" s="330" t="s">
        <v>342</v>
      </c>
      <c r="F48" s="330" t="s">
        <v>342</v>
      </c>
      <c r="G48" s="330" t="s">
        <v>342</v>
      </c>
      <c r="H48" s="330" t="s">
        <v>342</v>
      </c>
      <c r="I48" s="330" t="s">
        <v>342</v>
      </c>
      <c r="J48" s="330" t="s">
        <v>342</v>
      </c>
      <c r="K48" s="330" t="s">
        <v>342</v>
      </c>
      <c r="L48" s="330" t="s">
        <v>342</v>
      </c>
      <c r="M48" s="330" t="s">
        <v>342</v>
      </c>
      <c r="N48" s="330" t="s">
        <v>342</v>
      </c>
      <c r="O48" s="330" t="s">
        <v>342</v>
      </c>
      <c r="P48" s="330" t="s">
        <v>342</v>
      </c>
      <c r="Q48" s="326" t="s">
        <v>342</v>
      </c>
    </row>
    <row r="49" spans="1:17" ht="10.5">
      <c r="A49" s="452" t="s">
        <v>165</v>
      </c>
      <c r="B49" s="323"/>
      <c r="C49" s="323"/>
      <c r="D49" s="323"/>
      <c r="E49" s="308">
        <f aca="true" t="shared" si="1" ref="E49:Q49">SUM(E29:E48)</f>
        <v>0</v>
      </c>
      <c r="F49" s="308">
        <f t="shared" si="1"/>
        <v>0</v>
      </c>
      <c r="G49" s="308">
        <f t="shared" si="1"/>
        <v>0</v>
      </c>
      <c r="H49" s="308">
        <f t="shared" si="1"/>
        <v>0</v>
      </c>
      <c r="I49" s="308">
        <f t="shared" si="1"/>
        <v>0</v>
      </c>
      <c r="J49" s="308">
        <f t="shared" si="1"/>
        <v>0</v>
      </c>
      <c r="K49" s="308">
        <f t="shared" si="1"/>
        <v>0</v>
      </c>
      <c r="L49" s="308">
        <f t="shared" si="1"/>
        <v>0</v>
      </c>
      <c r="M49" s="308">
        <f t="shared" si="1"/>
        <v>0</v>
      </c>
      <c r="N49" s="308">
        <f t="shared" si="1"/>
        <v>0</v>
      </c>
      <c r="O49" s="308">
        <f t="shared" si="1"/>
        <v>0</v>
      </c>
      <c r="P49" s="308">
        <f t="shared" si="1"/>
        <v>0</v>
      </c>
      <c r="Q49" s="140">
        <f t="shared" si="1"/>
        <v>0</v>
      </c>
    </row>
  </sheetData>
  <printOptions/>
  <pageMargins left="0.75" right="0.75" top="0.7" bottom="1.31" header="0.5" footer="0.5"/>
  <pageSetup horizontalDpi="300" verticalDpi="300" orientation="landscape" paperSize="9" scale="62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333"/>
  <sheetViews>
    <sheetView tabSelected="1" view="pageBreakPreview" zoomScaleNormal="75" zoomScaleSheetLayoutView="100" workbookViewId="0" topLeftCell="A250">
      <selection activeCell="A1" sqref="A1"/>
    </sheetView>
  </sheetViews>
  <sheetFormatPr defaultColWidth="9.00390625" defaultRowHeight="12.75"/>
  <cols>
    <col min="1" max="1" width="8.625" style="27" customWidth="1"/>
    <col min="2" max="2" width="51.75390625" style="27" customWidth="1"/>
    <col min="3" max="3" width="13.00390625" style="27" customWidth="1"/>
    <col min="4" max="14" width="10.875" style="27" bestFit="1" customWidth="1"/>
    <col min="15" max="15" width="11.625" style="27" customWidth="1"/>
    <col min="16" max="16" width="0" style="27" hidden="1" customWidth="1"/>
    <col min="17" max="16384" width="9.125" style="27" customWidth="1"/>
  </cols>
  <sheetData>
    <row r="1" spans="1:15" ht="18">
      <c r="A1" s="608"/>
      <c r="C1" s="96" t="s">
        <v>333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9"/>
    </row>
    <row r="2" spans="1:15" ht="10.5">
      <c r="A2" s="3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79"/>
    </row>
    <row r="3" spans="2:15" ht="13.5" thickBot="1">
      <c r="B3" s="468" t="s">
        <v>24</v>
      </c>
      <c r="C3" s="469" t="str">
        <f>VLOOKUP(B3,Классификаторы!$A:$B,2,FALSE)</f>
        <v>Компания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9"/>
    </row>
    <row r="4" spans="1:15" ht="10.5">
      <c r="A4" s="80" t="s">
        <v>0</v>
      </c>
      <c r="B4" s="55" t="s">
        <v>132</v>
      </c>
      <c r="C4" s="56">
        <v>39448</v>
      </c>
      <c r="D4" s="56">
        <v>39479</v>
      </c>
      <c r="E4" s="56">
        <v>39508</v>
      </c>
      <c r="F4" s="56">
        <v>39539</v>
      </c>
      <c r="G4" s="56">
        <v>39569</v>
      </c>
      <c r="H4" s="56">
        <v>39600</v>
      </c>
      <c r="I4" s="56">
        <v>39630</v>
      </c>
      <c r="J4" s="56">
        <v>39661</v>
      </c>
      <c r="K4" s="56">
        <v>39692</v>
      </c>
      <c r="L4" s="56">
        <v>39722</v>
      </c>
      <c r="M4" s="56">
        <v>39753</v>
      </c>
      <c r="N4" s="56">
        <v>39783</v>
      </c>
      <c r="O4" s="340" t="s">
        <v>67</v>
      </c>
    </row>
    <row r="5" spans="1:15" s="34" customFormat="1" ht="10.5">
      <c r="A5" s="460" t="s">
        <v>7</v>
      </c>
      <c r="B5" s="461" t="str">
        <f>VLOOKUP(A5,Классификаторы!$A:$B,2,FALSE)</f>
        <v>Цеховые затраты</v>
      </c>
      <c r="C5" s="197">
        <f>SUM(C6:C11,C17,C19)</f>
        <v>0</v>
      </c>
      <c r="D5" s="197">
        <f aca="true" t="shared" si="0" ref="D5:N5">SUM(D6:D11,D17,D19)</f>
        <v>0</v>
      </c>
      <c r="E5" s="197">
        <f t="shared" si="0"/>
        <v>0</v>
      </c>
      <c r="F5" s="197">
        <f t="shared" si="0"/>
        <v>0</v>
      </c>
      <c r="G5" s="197">
        <f t="shared" si="0"/>
        <v>0</v>
      </c>
      <c r="H5" s="197">
        <f t="shared" si="0"/>
        <v>0</v>
      </c>
      <c r="I5" s="197">
        <f t="shared" si="0"/>
        <v>0</v>
      </c>
      <c r="J5" s="197">
        <f t="shared" si="0"/>
        <v>0</v>
      </c>
      <c r="K5" s="197">
        <f t="shared" si="0"/>
        <v>0</v>
      </c>
      <c r="L5" s="197">
        <f t="shared" si="0"/>
        <v>0</v>
      </c>
      <c r="M5" s="197">
        <f t="shared" si="0"/>
        <v>0</v>
      </c>
      <c r="N5" s="318">
        <f t="shared" si="0"/>
        <v>0</v>
      </c>
      <c r="O5" s="84">
        <f>SUM(C5:N5)</f>
        <v>0</v>
      </c>
    </row>
    <row r="6" spans="1:15" ht="10.5">
      <c r="A6" s="81" t="s">
        <v>8</v>
      </c>
      <c r="B6" s="462" t="str">
        <f>VLOOKUP(A6,Классификаторы!$A:$B,2,FALSE)</f>
        <v>Амортизация зданий и сооружений</v>
      </c>
      <c r="C6" s="83">
        <f aca="true" t="shared" si="1" ref="C6:N19">SUMIF($A$128:$A$334,$A6,$C$128:$C$334)+SUMIF($A$34:$A$125,$A6,$C$34:$C$125)</f>
        <v>0</v>
      </c>
      <c r="D6" s="83">
        <f t="shared" si="1"/>
        <v>0</v>
      </c>
      <c r="E6" s="83">
        <f t="shared" si="1"/>
        <v>0</v>
      </c>
      <c r="F6" s="83">
        <f t="shared" si="1"/>
        <v>0</v>
      </c>
      <c r="G6" s="83">
        <f t="shared" si="1"/>
        <v>0</v>
      </c>
      <c r="H6" s="83">
        <f t="shared" si="1"/>
        <v>0</v>
      </c>
      <c r="I6" s="83">
        <f t="shared" si="1"/>
        <v>0</v>
      </c>
      <c r="J6" s="83">
        <f t="shared" si="1"/>
        <v>0</v>
      </c>
      <c r="K6" s="83">
        <f t="shared" si="1"/>
        <v>0</v>
      </c>
      <c r="L6" s="83">
        <f t="shared" si="1"/>
        <v>0</v>
      </c>
      <c r="M6" s="83">
        <f t="shared" si="1"/>
        <v>0</v>
      </c>
      <c r="N6" s="305">
        <f t="shared" si="1"/>
        <v>0</v>
      </c>
      <c r="O6" s="144">
        <f aca="true" t="shared" si="2" ref="O6:O31">SUM(C6:N6)</f>
        <v>0</v>
      </c>
    </row>
    <row r="7" spans="1:15" ht="10.5">
      <c r="A7" s="81" t="s">
        <v>9</v>
      </c>
      <c r="B7" s="462" t="str">
        <f>VLOOKUP(A7,Классификаторы!$A:$B,2,FALSE)</f>
        <v>Амортизация технологического оборудования</v>
      </c>
      <c r="C7" s="83">
        <f t="shared" si="1"/>
        <v>0</v>
      </c>
      <c r="D7" s="83">
        <f t="shared" si="1"/>
        <v>0</v>
      </c>
      <c r="E7" s="83">
        <f t="shared" si="1"/>
        <v>0</v>
      </c>
      <c r="F7" s="83">
        <f t="shared" si="1"/>
        <v>0</v>
      </c>
      <c r="G7" s="83">
        <f t="shared" si="1"/>
        <v>0</v>
      </c>
      <c r="H7" s="83">
        <f t="shared" si="1"/>
        <v>0</v>
      </c>
      <c r="I7" s="83">
        <f t="shared" si="1"/>
        <v>0</v>
      </c>
      <c r="J7" s="83">
        <f t="shared" si="1"/>
        <v>0</v>
      </c>
      <c r="K7" s="83">
        <f t="shared" si="1"/>
        <v>0</v>
      </c>
      <c r="L7" s="83">
        <f t="shared" si="1"/>
        <v>0</v>
      </c>
      <c r="M7" s="83">
        <f t="shared" si="1"/>
        <v>0</v>
      </c>
      <c r="N7" s="305">
        <f t="shared" si="1"/>
        <v>0</v>
      </c>
      <c r="O7" s="144">
        <f t="shared" si="2"/>
        <v>0</v>
      </c>
    </row>
    <row r="8" spans="1:15" ht="10.5">
      <c r="A8" s="81" t="s">
        <v>10</v>
      </c>
      <c r="B8" s="462" t="str">
        <f>VLOOKUP(A8,Классификаторы!$A:$B,2,FALSE)</f>
        <v>Затраты на охрану труда</v>
      </c>
      <c r="C8" s="83">
        <f t="shared" si="1"/>
        <v>0</v>
      </c>
      <c r="D8" s="83">
        <f t="shared" si="1"/>
        <v>0</v>
      </c>
      <c r="E8" s="83">
        <f t="shared" si="1"/>
        <v>0</v>
      </c>
      <c r="F8" s="83">
        <f t="shared" si="1"/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83">
        <f t="shared" si="1"/>
        <v>0</v>
      </c>
      <c r="N8" s="305">
        <f t="shared" si="1"/>
        <v>0</v>
      </c>
      <c r="O8" s="144">
        <f t="shared" si="2"/>
        <v>0</v>
      </c>
    </row>
    <row r="9" spans="1:15" ht="10.5">
      <c r="A9" s="81" t="s">
        <v>11</v>
      </c>
      <c r="B9" s="462" t="str">
        <f>VLOOKUP(A9,Классификаторы!$A:$B,2,FALSE)</f>
        <v>Зарплата управления цехов с отчислениями</v>
      </c>
      <c r="C9" s="83">
        <f t="shared" si="1"/>
        <v>0</v>
      </c>
      <c r="D9" s="83">
        <f t="shared" si="1"/>
        <v>0</v>
      </c>
      <c r="E9" s="83">
        <f t="shared" si="1"/>
        <v>0</v>
      </c>
      <c r="F9" s="83">
        <f t="shared" si="1"/>
        <v>0</v>
      </c>
      <c r="G9" s="83">
        <f t="shared" si="1"/>
        <v>0</v>
      </c>
      <c r="H9" s="83">
        <f t="shared" si="1"/>
        <v>0</v>
      </c>
      <c r="I9" s="83">
        <f t="shared" si="1"/>
        <v>0</v>
      </c>
      <c r="J9" s="83">
        <f t="shared" si="1"/>
        <v>0</v>
      </c>
      <c r="K9" s="83">
        <f t="shared" si="1"/>
        <v>0</v>
      </c>
      <c r="L9" s="83">
        <f t="shared" si="1"/>
        <v>0</v>
      </c>
      <c r="M9" s="83">
        <f t="shared" si="1"/>
        <v>0</v>
      </c>
      <c r="N9" s="305">
        <f t="shared" si="1"/>
        <v>0</v>
      </c>
      <c r="O9" s="144">
        <f t="shared" si="2"/>
        <v>0</v>
      </c>
    </row>
    <row r="10" spans="1:15" ht="10.5">
      <c r="A10" s="81" t="s">
        <v>38</v>
      </c>
      <c r="B10" s="462" t="str">
        <f>VLOOKUP(A10,Классификаторы!$A:$B,2,FALSE)</f>
        <v>Прочая зарплата с отчислениями в составе цеховых затрат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f t="shared" si="1"/>
        <v>0</v>
      </c>
      <c r="J10" s="83">
        <f t="shared" si="1"/>
        <v>0</v>
      </c>
      <c r="K10" s="83">
        <f t="shared" si="1"/>
        <v>0</v>
      </c>
      <c r="L10" s="83">
        <f t="shared" si="1"/>
        <v>0</v>
      </c>
      <c r="M10" s="83">
        <f t="shared" si="1"/>
        <v>0</v>
      </c>
      <c r="N10" s="305">
        <f t="shared" si="1"/>
        <v>0</v>
      </c>
      <c r="O10" s="144">
        <f t="shared" si="2"/>
        <v>0</v>
      </c>
    </row>
    <row r="11" spans="1:15" ht="10.5">
      <c r="A11" s="81" t="s">
        <v>39</v>
      </c>
      <c r="B11" s="462" t="str">
        <f>VLOOKUP(A11,Классификаторы!$A:$B,2,FALSE)</f>
        <v>Затраты на содержание зданий и сооружений</v>
      </c>
      <c r="C11" s="83">
        <f t="shared" si="1"/>
        <v>0</v>
      </c>
      <c r="D11" s="83">
        <f t="shared" si="1"/>
        <v>0</v>
      </c>
      <c r="E11" s="83">
        <f t="shared" si="1"/>
        <v>0</v>
      </c>
      <c r="F11" s="83">
        <f t="shared" si="1"/>
        <v>0</v>
      </c>
      <c r="G11" s="83">
        <f t="shared" si="1"/>
        <v>0</v>
      </c>
      <c r="H11" s="83">
        <f t="shared" si="1"/>
        <v>0</v>
      </c>
      <c r="I11" s="83">
        <f t="shared" si="1"/>
        <v>0</v>
      </c>
      <c r="J11" s="83">
        <f t="shared" si="1"/>
        <v>0</v>
      </c>
      <c r="K11" s="83">
        <f t="shared" si="1"/>
        <v>0</v>
      </c>
      <c r="L11" s="83">
        <f t="shared" si="1"/>
        <v>0</v>
      </c>
      <c r="M11" s="83">
        <f t="shared" si="1"/>
        <v>0</v>
      </c>
      <c r="N11" s="305">
        <f t="shared" si="1"/>
        <v>0</v>
      </c>
      <c r="O11" s="144">
        <f t="shared" si="2"/>
        <v>0</v>
      </c>
    </row>
    <row r="12" spans="1:15" ht="10.5">
      <c r="A12" s="81" t="s">
        <v>106</v>
      </c>
      <c r="B12" s="463" t="str">
        <f>VLOOKUP(A12,Классификаторы!$A:$B,2,FALSE)</f>
        <v>Зарплата вспомогательных рабочих с отчислениями</v>
      </c>
      <c r="C12" s="83">
        <f t="shared" si="1"/>
        <v>0</v>
      </c>
      <c r="D12" s="83">
        <f t="shared" si="1"/>
        <v>0</v>
      </c>
      <c r="E12" s="83">
        <f t="shared" si="1"/>
        <v>0</v>
      </c>
      <c r="F12" s="83">
        <f t="shared" si="1"/>
        <v>0</v>
      </c>
      <c r="G12" s="83">
        <f t="shared" si="1"/>
        <v>0</v>
      </c>
      <c r="H12" s="83">
        <f t="shared" si="1"/>
        <v>0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0</v>
      </c>
      <c r="N12" s="305">
        <f t="shared" si="1"/>
        <v>0</v>
      </c>
      <c r="O12" s="144">
        <f t="shared" si="2"/>
        <v>0</v>
      </c>
    </row>
    <row r="13" spans="1:15" ht="10.5">
      <c r="A13" s="81" t="s">
        <v>107</v>
      </c>
      <c r="B13" s="463" t="str">
        <f>VLOOKUP(A13,Классификаторы!$A:$B,2,FALSE)</f>
        <v>Вода техническая</v>
      </c>
      <c r="C13" s="83">
        <f t="shared" si="1"/>
        <v>0</v>
      </c>
      <c r="D13" s="83">
        <f t="shared" si="1"/>
        <v>0</v>
      </c>
      <c r="E13" s="83">
        <f t="shared" si="1"/>
        <v>0</v>
      </c>
      <c r="F13" s="83">
        <f t="shared" si="1"/>
        <v>0</v>
      </c>
      <c r="G13" s="83">
        <f t="shared" si="1"/>
        <v>0</v>
      </c>
      <c r="H13" s="83">
        <f t="shared" si="1"/>
        <v>0</v>
      </c>
      <c r="I13" s="83">
        <f t="shared" si="1"/>
        <v>0</v>
      </c>
      <c r="J13" s="83">
        <f t="shared" si="1"/>
        <v>0</v>
      </c>
      <c r="K13" s="83">
        <f t="shared" si="1"/>
        <v>0</v>
      </c>
      <c r="L13" s="83">
        <f t="shared" si="1"/>
        <v>0</v>
      </c>
      <c r="M13" s="83">
        <f t="shared" si="1"/>
        <v>0</v>
      </c>
      <c r="N13" s="305">
        <f t="shared" si="1"/>
        <v>0</v>
      </c>
      <c r="O13" s="144">
        <f t="shared" si="2"/>
        <v>0</v>
      </c>
    </row>
    <row r="14" spans="1:15" ht="10.5">
      <c r="A14" s="81" t="s">
        <v>108</v>
      </c>
      <c r="B14" s="463" t="str">
        <f>VLOOKUP(A14,Классификаторы!$A:$B,2,FALSE)</f>
        <v>ТЭР в составе цеховых</v>
      </c>
      <c r="C14" s="83">
        <f t="shared" si="1"/>
        <v>0</v>
      </c>
      <c r="D14" s="83">
        <f t="shared" si="1"/>
        <v>0</v>
      </c>
      <c r="E14" s="83">
        <f t="shared" si="1"/>
        <v>0</v>
      </c>
      <c r="F14" s="83">
        <f t="shared" si="1"/>
        <v>0</v>
      </c>
      <c r="G14" s="83">
        <f t="shared" si="1"/>
        <v>0</v>
      </c>
      <c r="H14" s="83">
        <f t="shared" si="1"/>
        <v>0</v>
      </c>
      <c r="I14" s="83">
        <f t="shared" si="1"/>
        <v>0</v>
      </c>
      <c r="J14" s="83">
        <f t="shared" si="1"/>
        <v>0</v>
      </c>
      <c r="K14" s="83">
        <f t="shared" si="1"/>
        <v>0</v>
      </c>
      <c r="L14" s="83">
        <f t="shared" si="1"/>
        <v>0</v>
      </c>
      <c r="M14" s="83">
        <f t="shared" si="1"/>
        <v>0</v>
      </c>
      <c r="N14" s="305">
        <f t="shared" si="1"/>
        <v>0</v>
      </c>
      <c r="O14" s="144">
        <f t="shared" si="2"/>
        <v>0</v>
      </c>
    </row>
    <row r="15" spans="1:15" ht="10.5">
      <c r="A15" s="81" t="s">
        <v>109</v>
      </c>
      <c r="B15" s="463" t="str">
        <f>VLOOKUP(A15,Классификаторы!$A:$B,2,FALSE)</f>
        <v>Теплоэнергия в составе цеховых затрат</v>
      </c>
      <c r="C15" s="83">
        <f t="shared" si="1"/>
        <v>0</v>
      </c>
      <c r="D15" s="83">
        <f t="shared" si="1"/>
        <v>0</v>
      </c>
      <c r="E15" s="83">
        <f t="shared" si="1"/>
        <v>0</v>
      </c>
      <c r="F15" s="83">
        <f t="shared" si="1"/>
        <v>0</v>
      </c>
      <c r="G15" s="83">
        <f t="shared" si="1"/>
        <v>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  <c r="M15" s="83">
        <f t="shared" si="1"/>
        <v>0</v>
      </c>
      <c r="N15" s="305">
        <f t="shared" si="1"/>
        <v>0</v>
      </c>
      <c r="O15" s="144">
        <f t="shared" si="2"/>
        <v>0</v>
      </c>
    </row>
    <row r="16" spans="1:15" ht="10.5">
      <c r="A16" s="81" t="s">
        <v>110</v>
      </c>
      <c r="B16" s="463" t="str">
        <f>VLOOKUP(A16,Классификаторы!$A:$B,2,FALSE)</f>
        <v>Услуги сторонних организаций</v>
      </c>
      <c r="C16" s="83">
        <f t="shared" si="1"/>
        <v>0</v>
      </c>
      <c r="D16" s="83">
        <f t="shared" si="1"/>
        <v>0</v>
      </c>
      <c r="E16" s="83">
        <f t="shared" si="1"/>
        <v>0</v>
      </c>
      <c r="F16" s="83">
        <f t="shared" si="1"/>
        <v>0</v>
      </c>
      <c r="G16" s="83">
        <f t="shared" si="1"/>
        <v>0</v>
      </c>
      <c r="H16" s="83">
        <f t="shared" si="1"/>
        <v>0</v>
      </c>
      <c r="I16" s="83">
        <f t="shared" si="1"/>
        <v>0</v>
      </c>
      <c r="J16" s="83">
        <f t="shared" si="1"/>
        <v>0</v>
      </c>
      <c r="K16" s="83">
        <f t="shared" si="1"/>
        <v>0</v>
      </c>
      <c r="L16" s="83">
        <f t="shared" si="1"/>
        <v>0</v>
      </c>
      <c r="M16" s="83">
        <f t="shared" si="1"/>
        <v>0</v>
      </c>
      <c r="N16" s="305">
        <f t="shared" si="1"/>
        <v>0</v>
      </c>
      <c r="O16" s="144">
        <f t="shared" si="2"/>
        <v>0</v>
      </c>
    </row>
    <row r="17" spans="1:15" ht="10.5">
      <c r="A17" s="81" t="s">
        <v>40</v>
      </c>
      <c r="B17" s="462" t="str">
        <f>VLOOKUP(A17,Классификаторы!$A:$B,2,FALSE)</f>
        <v>Текущий ремонт зданий и сооружений</v>
      </c>
      <c r="C17" s="83">
        <f t="shared" si="1"/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83">
        <f t="shared" si="1"/>
        <v>0</v>
      </c>
      <c r="J17" s="83">
        <f t="shared" si="1"/>
        <v>0</v>
      </c>
      <c r="K17" s="83">
        <f t="shared" si="1"/>
        <v>0</v>
      </c>
      <c r="L17" s="83">
        <f t="shared" si="1"/>
        <v>0</v>
      </c>
      <c r="M17" s="83">
        <f t="shared" si="1"/>
        <v>0</v>
      </c>
      <c r="N17" s="305">
        <f t="shared" si="1"/>
        <v>0</v>
      </c>
      <c r="O17" s="144">
        <f t="shared" si="2"/>
        <v>0</v>
      </c>
    </row>
    <row r="18" spans="1:15" ht="10.5">
      <c r="A18" s="81" t="s">
        <v>112</v>
      </c>
      <c r="B18" s="463" t="str">
        <f>VLOOKUP(A18,Классификаторы!$A:$B,2,FALSE)</f>
        <v>Услуги сторонних организаций</v>
      </c>
      <c r="C18" s="83">
        <f t="shared" si="1"/>
        <v>0</v>
      </c>
      <c r="D18" s="83">
        <f t="shared" si="1"/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3">
        <f t="shared" si="1"/>
        <v>0</v>
      </c>
      <c r="N18" s="305">
        <f t="shared" si="1"/>
        <v>0</v>
      </c>
      <c r="O18" s="144">
        <f t="shared" si="2"/>
        <v>0</v>
      </c>
    </row>
    <row r="19" spans="1:15" ht="10.5">
      <c r="A19" s="353" t="s">
        <v>41</v>
      </c>
      <c r="B19" s="462" t="str">
        <f>VLOOKUP(A19,Классификаторы!$A:$B,2,FALSE)</f>
        <v>Прочие затраты</v>
      </c>
      <c r="C19" s="202">
        <f t="shared" si="1"/>
        <v>0</v>
      </c>
      <c r="D19" s="202">
        <f t="shared" si="1"/>
        <v>0</v>
      </c>
      <c r="E19" s="202">
        <f t="shared" si="1"/>
        <v>0</v>
      </c>
      <c r="F19" s="202">
        <f t="shared" si="1"/>
        <v>0</v>
      </c>
      <c r="G19" s="202">
        <f t="shared" si="1"/>
        <v>0</v>
      </c>
      <c r="H19" s="202">
        <f t="shared" si="1"/>
        <v>0</v>
      </c>
      <c r="I19" s="202">
        <f t="shared" si="1"/>
        <v>0</v>
      </c>
      <c r="J19" s="202">
        <f t="shared" si="1"/>
        <v>0</v>
      </c>
      <c r="K19" s="202">
        <f t="shared" si="1"/>
        <v>0</v>
      </c>
      <c r="L19" s="202">
        <f t="shared" si="1"/>
        <v>0</v>
      </c>
      <c r="M19" s="202">
        <f t="shared" si="1"/>
        <v>0</v>
      </c>
      <c r="N19" s="371">
        <f t="shared" si="1"/>
        <v>0</v>
      </c>
      <c r="O19" s="144">
        <f t="shared" si="2"/>
        <v>0</v>
      </c>
    </row>
    <row r="20" spans="1:15" ht="10.5">
      <c r="A20" s="460" t="s">
        <v>12</v>
      </c>
      <c r="B20" s="461" t="str">
        <f>VLOOKUP(A20,Классификаторы!$A:$B,2,FALSE)</f>
        <v>Затраты на ремонт и содержание оборудования</v>
      </c>
      <c r="C20" s="466">
        <f>SUM(C21,C26)</f>
        <v>0</v>
      </c>
      <c r="D20" s="466">
        <f aca="true" t="shared" si="3" ref="D20:N20">SUM(D21,D26)</f>
        <v>0</v>
      </c>
      <c r="E20" s="466">
        <f t="shared" si="3"/>
        <v>0</v>
      </c>
      <c r="F20" s="466">
        <f t="shared" si="3"/>
        <v>0</v>
      </c>
      <c r="G20" s="466">
        <f t="shared" si="3"/>
        <v>0</v>
      </c>
      <c r="H20" s="466">
        <f t="shared" si="3"/>
        <v>0</v>
      </c>
      <c r="I20" s="466">
        <f t="shared" si="3"/>
        <v>0</v>
      </c>
      <c r="J20" s="466">
        <f t="shared" si="3"/>
        <v>0</v>
      </c>
      <c r="K20" s="466">
        <f t="shared" si="3"/>
        <v>0</v>
      </c>
      <c r="L20" s="466">
        <f t="shared" si="3"/>
        <v>0</v>
      </c>
      <c r="M20" s="466">
        <f t="shared" si="3"/>
        <v>0</v>
      </c>
      <c r="N20" s="467">
        <f t="shared" si="3"/>
        <v>0</v>
      </c>
      <c r="O20" s="84">
        <f t="shared" si="2"/>
        <v>0</v>
      </c>
    </row>
    <row r="21" spans="1:15" ht="10.5">
      <c r="A21" s="81" t="s">
        <v>13</v>
      </c>
      <c r="B21" s="462" t="str">
        <f>VLOOKUP(A21,Классификаторы!$A:$B,2,FALSE)</f>
        <v>Содержание и эксплуатация технологического оборудования</v>
      </c>
      <c r="C21" s="83">
        <f aca="true" t="shared" si="4" ref="C21:N31">SUMIF($A$34:$A$125,$A21,$C$34:$C$125)</f>
        <v>0</v>
      </c>
      <c r="D21" s="83">
        <f t="shared" si="4"/>
        <v>0</v>
      </c>
      <c r="E21" s="83">
        <f t="shared" si="4"/>
        <v>0</v>
      </c>
      <c r="F21" s="83">
        <f t="shared" si="4"/>
        <v>0</v>
      </c>
      <c r="G21" s="83">
        <f t="shared" si="4"/>
        <v>0</v>
      </c>
      <c r="H21" s="83">
        <f t="shared" si="4"/>
        <v>0</v>
      </c>
      <c r="I21" s="83">
        <f t="shared" si="4"/>
        <v>0</v>
      </c>
      <c r="J21" s="83">
        <f t="shared" si="4"/>
        <v>0</v>
      </c>
      <c r="K21" s="83">
        <f t="shared" si="4"/>
        <v>0</v>
      </c>
      <c r="L21" s="83">
        <f t="shared" si="4"/>
        <v>0</v>
      </c>
      <c r="M21" s="83">
        <f t="shared" si="4"/>
        <v>0</v>
      </c>
      <c r="N21" s="305">
        <f t="shared" si="4"/>
        <v>0</v>
      </c>
      <c r="O21" s="144">
        <f t="shared" si="2"/>
        <v>0</v>
      </c>
    </row>
    <row r="22" spans="1:15" ht="10.5">
      <c r="A22" s="81" t="s">
        <v>122</v>
      </c>
      <c r="B22" s="463" t="str">
        <f>VLOOKUP(A22,Классификаторы!$A:$B,2,FALSE)</f>
        <v>Услуги вспомогательных цехов</v>
      </c>
      <c r="C22" s="83">
        <f t="shared" si="4"/>
        <v>0</v>
      </c>
      <c r="D22" s="83">
        <f t="shared" si="4"/>
        <v>0</v>
      </c>
      <c r="E22" s="83">
        <f t="shared" si="4"/>
        <v>0</v>
      </c>
      <c r="F22" s="83">
        <f t="shared" si="4"/>
        <v>0</v>
      </c>
      <c r="G22" s="83">
        <f t="shared" si="4"/>
        <v>0</v>
      </c>
      <c r="H22" s="83">
        <f t="shared" si="4"/>
        <v>0</v>
      </c>
      <c r="I22" s="83">
        <f t="shared" si="4"/>
        <v>0</v>
      </c>
      <c r="J22" s="83">
        <f t="shared" si="4"/>
        <v>0</v>
      </c>
      <c r="K22" s="83">
        <f t="shared" si="4"/>
        <v>0</v>
      </c>
      <c r="L22" s="83">
        <f t="shared" si="4"/>
        <v>0</v>
      </c>
      <c r="M22" s="83">
        <f t="shared" si="4"/>
        <v>0</v>
      </c>
      <c r="N22" s="305">
        <f t="shared" si="4"/>
        <v>0</v>
      </c>
      <c r="O22" s="144">
        <f t="shared" si="2"/>
        <v>0</v>
      </c>
    </row>
    <row r="23" spans="1:15" ht="10.5">
      <c r="A23" s="81" t="s">
        <v>123</v>
      </c>
      <c r="B23" s="463" t="str">
        <f>VLOOKUP(A23,Классификаторы!$A:$B,2,FALSE)</f>
        <v>Эксплуатационные материалы</v>
      </c>
      <c r="C23" s="83">
        <f t="shared" si="4"/>
        <v>0</v>
      </c>
      <c r="D23" s="83">
        <f t="shared" si="4"/>
        <v>0</v>
      </c>
      <c r="E23" s="83">
        <f t="shared" si="4"/>
        <v>0</v>
      </c>
      <c r="F23" s="83">
        <f t="shared" si="4"/>
        <v>0</v>
      </c>
      <c r="G23" s="83">
        <f t="shared" si="4"/>
        <v>0</v>
      </c>
      <c r="H23" s="83">
        <f t="shared" si="4"/>
        <v>0</v>
      </c>
      <c r="I23" s="83">
        <f t="shared" si="4"/>
        <v>0</v>
      </c>
      <c r="J23" s="83">
        <f t="shared" si="4"/>
        <v>0</v>
      </c>
      <c r="K23" s="83">
        <f t="shared" si="4"/>
        <v>0</v>
      </c>
      <c r="L23" s="83">
        <f t="shared" si="4"/>
        <v>0</v>
      </c>
      <c r="M23" s="83">
        <f t="shared" si="4"/>
        <v>0</v>
      </c>
      <c r="N23" s="305">
        <f t="shared" si="4"/>
        <v>0</v>
      </c>
      <c r="O23" s="144">
        <f t="shared" si="2"/>
        <v>0</v>
      </c>
    </row>
    <row r="24" spans="1:15" ht="10.5">
      <c r="A24" s="81" t="s">
        <v>124</v>
      </c>
      <c r="B24" s="463" t="str">
        <f>VLOOKUP(A24,Классификаторы!$A:$B,2,FALSE)</f>
        <v>ГСМ</v>
      </c>
      <c r="C24" s="83">
        <f t="shared" si="4"/>
        <v>0</v>
      </c>
      <c r="D24" s="83">
        <f t="shared" si="4"/>
        <v>0</v>
      </c>
      <c r="E24" s="83">
        <f t="shared" si="4"/>
        <v>0</v>
      </c>
      <c r="F24" s="83">
        <f t="shared" si="4"/>
        <v>0</v>
      </c>
      <c r="G24" s="83">
        <f t="shared" si="4"/>
        <v>0</v>
      </c>
      <c r="H24" s="83">
        <f t="shared" si="4"/>
        <v>0</v>
      </c>
      <c r="I24" s="83">
        <f t="shared" si="4"/>
        <v>0</v>
      </c>
      <c r="J24" s="83">
        <f t="shared" si="4"/>
        <v>0</v>
      </c>
      <c r="K24" s="83">
        <f t="shared" si="4"/>
        <v>0</v>
      </c>
      <c r="L24" s="83">
        <f t="shared" si="4"/>
        <v>0</v>
      </c>
      <c r="M24" s="83">
        <f t="shared" si="4"/>
        <v>0</v>
      </c>
      <c r="N24" s="305">
        <f t="shared" si="4"/>
        <v>0</v>
      </c>
      <c r="O24" s="144">
        <f t="shared" si="2"/>
        <v>0</v>
      </c>
    </row>
    <row r="25" spans="1:15" ht="10.5">
      <c r="A25" s="81" t="s">
        <v>125</v>
      </c>
      <c r="B25" s="463" t="str">
        <f>VLOOKUP(A25,Классификаторы!$A:$B,2,FALSE)</f>
        <v>Услуги сторонних организаций</v>
      </c>
      <c r="C25" s="83">
        <f t="shared" si="4"/>
        <v>0</v>
      </c>
      <c r="D25" s="83">
        <f t="shared" si="4"/>
        <v>0</v>
      </c>
      <c r="E25" s="83">
        <f t="shared" si="4"/>
        <v>0</v>
      </c>
      <c r="F25" s="83">
        <f t="shared" si="4"/>
        <v>0</v>
      </c>
      <c r="G25" s="83">
        <f t="shared" si="4"/>
        <v>0</v>
      </c>
      <c r="H25" s="83">
        <f t="shared" si="4"/>
        <v>0</v>
      </c>
      <c r="I25" s="83">
        <f t="shared" si="4"/>
        <v>0</v>
      </c>
      <c r="J25" s="83">
        <f t="shared" si="4"/>
        <v>0</v>
      </c>
      <c r="K25" s="83">
        <f t="shared" si="4"/>
        <v>0</v>
      </c>
      <c r="L25" s="83">
        <f t="shared" si="4"/>
        <v>0</v>
      </c>
      <c r="M25" s="83">
        <f t="shared" si="4"/>
        <v>0</v>
      </c>
      <c r="N25" s="305">
        <f t="shared" si="4"/>
        <v>0</v>
      </c>
      <c r="O25" s="144">
        <f t="shared" si="2"/>
        <v>0</v>
      </c>
    </row>
    <row r="26" spans="1:15" ht="10.5">
      <c r="A26" s="81" t="s">
        <v>14</v>
      </c>
      <c r="B26" s="462" t="str">
        <f>VLOOKUP(A26,Классификаторы!$A:$B,2,FALSE)</f>
        <v>Текущий ремонт технологического оборудования</v>
      </c>
      <c r="C26" s="83">
        <f t="shared" si="4"/>
        <v>0</v>
      </c>
      <c r="D26" s="83">
        <f t="shared" si="4"/>
        <v>0</v>
      </c>
      <c r="E26" s="83">
        <f t="shared" si="4"/>
        <v>0</v>
      </c>
      <c r="F26" s="83">
        <f t="shared" si="4"/>
        <v>0</v>
      </c>
      <c r="G26" s="83">
        <f t="shared" si="4"/>
        <v>0</v>
      </c>
      <c r="H26" s="83">
        <f t="shared" si="4"/>
        <v>0</v>
      </c>
      <c r="I26" s="83">
        <f t="shared" si="4"/>
        <v>0</v>
      </c>
      <c r="J26" s="83">
        <f t="shared" si="4"/>
        <v>0</v>
      </c>
      <c r="K26" s="83">
        <f t="shared" si="4"/>
        <v>0</v>
      </c>
      <c r="L26" s="83">
        <f t="shared" si="4"/>
        <v>0</v>
      </c>
      <c r="M26" s="83">
        <f t="shared" si="4"/>
        <v>0</v>
      </c>
      <c r="N26" s="305">
        <f t="shared" si="4"/>
        <v>0</v>
      </c>
      <c r="O26" s="144">
        <f t="shared" si="2"/>
        <v>0</v>
      </c>
    </row>
    <row r="27" spans="1:15" ht="10.5">
      <c r="A27" s="81" t="s">
        <v>126</v>
      </c>
      <c r="B27" s="463" t="str">
        <f>VLOOKUP(A27,Классификаторы!$A:$B,2,FALSE)</f>
        <v>Услуги вспомогательных цехов</v>
      </c>
      <c r="C27" s="83">
        <f t="shared" si="4"/>
        <v>0</v>
      </c>
      <c r="D27" s="83">
        <f t="shared" si="4"/>
        <v>0</v>
      </c>
      <c r="E27" s="83">
        <f t="shared" si="4"/>
        <v>0</v>
      </c>
      <c r="F27" s="83">
        <f t="shared" si="4"/>
        <v>0</v>
      </c>
      <c r="G27" s="83">
        <f t="shared" si="4"/>
        <v>0</v>
      </c>
      <c r="H27" s="83">
        <f t="shared" si="4"/>
        <v>0</v>
      </c>
      <c r="I27" s="83">
        <f t="shared" si="4"/>
        <v>0</v>
      </c>
      <c r="J27" s="83">
        <f t="shared" si="4"/>
        <v>0</v>
      </c>
      <c r="K27" s="83">
        <f t="shared" si="4"/>
        <v>0</v>
      </c>
      <c r="L27" s="83">
        <f t="shared" si="4"/>
        <v>0</v>
      </c>
      <c r="M27" s="83">
        <f t="shared" si="4"/>
        <v>0</v>
      </c>
      <c r="N27" s="305">
        <f t="shared" si="4"/>
        <v>0</v>
      </c>
      <c r="O27" s="144">
        <f t="shared" si="2"/>
        <v>0</v>
      </c>
    </row>
    <row r="28" spans="1:15" ht="10.5">
      <c r="A28" s="81" t="s">
        <v>127</v>
      </c>
      <c r="B28" s="463" t="str">
        <f>VLOOKUP(A28,Классификаторы!$A:$B,2,FALSE)</f>
        <v>Зарплата рабочих РМЦ с отчислениями</v>
      </c>
      <c r="C28" s="83">
        <f t="shared" si="4"/>
        <v>0</v>
      </c>
      <c r="D28" s="83">
        <f t="shared" si="4"/>
        <v>0</v>
      </c>
      <c r="E28" s="83">
        <f t="shared" si="4"/>
        <v>0</v>
      </c>
      <c r="F28" s="83">
        <f t="shared" si="4"/>
        <v>0</v>
      </c>
      <c r="G28" s="83">
        <f t="shared" si="4"/>
        <v>0</v>
      </c>
      <c r="H28" s="83">
        <f t="shared" si="4"/>
        <v>0</v>
      </c>
      <c r="I28" s="83">
        <f t="shared" si="4"/>
        <v>0</v>
      </c>
      <c r="J28" s="83">
        <f t="shared" si="4"/>
        <v>0</v>
      </c>
      <c r="K28" s="83">
        <f t="shared" si="4"/>
        <v>0</v>
      </c>
      <c r="L28" s="83">
        <f t="shared" si="4"/>
        <v>0</v>
      </c>
      <c r="M28" s="83">
        <f t="shared" si="4"/>
        <v>0</v>
      </c>
      <c r="N28" s="305">
        <f t="shared" si="4"/>
        <v>0</v>
      </c>
      <c r="O28" s="144">
        <f t="shared" si="2"/>
        <v>0</v>
      </c>
    </row>
    <row r="29" spans="1:15" ht="10.5">
      <c r="A29" s="81" t="s">
        <v>128</v>
      </c>
      <c r="B29" s="463" t="str">
        <f>VLOOKUP(A29,Классификаторы!$A:$B,2,FALSE)</f>
        <v>Расходные материалы для ремонта</v>
      </c>
      <c r="C29" s="83">
        <f t="shared" si="4"/>
        <v>0</v>
      </c>
      <c r="D29" s="83">
        <f t="shared" si="4"/>
        <v>0</v>
      </c>
      <c r="E29" s="83">
        <f t="shared" si="4"/>
        <v>0</v>
      </c>
      <c r="F29" s="83">
        <f t="shared" si="4"/>
        <v>0</v>
      </c>
      <c r="G29" s="83">
        <f t="shared" si="4"/>
        <v>0</v>
      </c>
      <c r="H29" s="83">
        <f t="shared" si="4"/>
        <v>0</v>
      </c>
      <c r="I29" s="83">
        <f t="shared" si="4"/>
        <v>0</v>
      </c>
      <c r="J29" s="83">
        <f t="shared" si="4"/>
        <v>0</v>
      </c>
      <c r="K29" s="83">
        <f t="shared" si="4"/>
        <v>0</v>
      </c>
      <c r="L29" s="83">
        <f t="shared" si="4"/>
        <v>0</v>
      </c>
      <c r="M29" s="83">
        <f t="shared" si="4"/>
        <v>0</v>
      </c>
      <c r="N29" s="305">
        <f t="shared" si="4"/>
        <v>0</v>
      </c>
      <c r="O29" s="144">
        <f t="shared" si="2"/>
        <v>0</v>
      </c>
    </row>
    <row r="30" spans="1:15" ht="10.5">
      <c r="A30" s="81" t="s">
        <v>129</v>
      </c>
      <c r="B30" s="463" t="str">
        <f>VLOOKUP(A30,Классификаторы!$A:$B,2,FALSE)</f>
        <v>Запасные части для ремонта</v>
      </c>
      <c r="C30" s="83">
        <f t="shared" si="4"/>
        <v>0</v>
      </c>
      <c r="D30" s="83">
        <f t="shared" si="4"/>
        <v>0</v>
      </c>
      <c r="E30" s="83">
        <f t="shared" si="4"/>
        <v>0</v>
      </c>
      <c r="F30" s="83">
        <f t="shared" si="4"/>
        <v>0</v>
      </c>
      <c r="G30" s="83">
        <f t="shared" si="4"/>
        <v>0</v>
      </c>
      <c r="H30" s="83">
        <f t="shared" si="4"/>
        <v>0</v>
      </c>
      <c r="I30" s="83">
        <f t="shared" si="4"/>
        <v>0</v>
      </c>
      <c r="J30" s="83">
        <f t="shared" si="4"/>
        <v>0</v>
      </c>
      <c r="K30" s="83">
        <f t="shared" si="4"/>
        <v>0</v>
      </c>
      <c r="L30" s="83">
        <f t="shared" si="4"/>
        <v>0</v>
      </c>
      <c r="M30" s="83">
        <f t="shared" si="4"/>
        <v>0</v>
      </c>
      <c r="N30" s="305">
        <f t="shared" si="4"/>
        <v>0</v>
      </c>
      <c r="O30" s="144">
        <f t="shared" si="2"/>
        <v>0</v>
      </c>
    </row>
    <row r="31" spans="1:15" ht="10.5">
      <c r="A31" s="346" t="s">
        <v>130</v>
      </c>
      <c r="B31" s="464" t="str">
        <f>VLOOKUP(A31,Классификаторы!$A:$B,2,FALSE)</f>
        <v>Услуги сторонних организаций</v>
      </c>
      <c r="C31" s="139">
        <f t="shared" si="4"/>
        <v>0</v>
      </c>
      <c r="D31" s="139">
        <f t="shared" si="4"/>
        <v>0</v>
      </c>
      <c r="E31" s="139">
        <f t="shared" si="4"/>
        <v>0</v>
      </c>
      <c r="F31" s="139">
        <f t="shared" si="4"/>
        <v>0</v>
      </c>
      <c r="G31" s="139">
        <f t="shared" si="4"/>
        <v>0</v>
      </c>
      <c r="H31" s="139">
        <f t="shared" si="4"/>
        <v>0</v>
      </c>
      <c r="I31" s="139">
        <f t="shared" si="4"/>
        <v>0</v>
      </c>
      <c r="J31" s="139">
        <f t="shared" si="4"/>
        <v>0</v>
      </c>
      <c r="K31" s="139">
        <f t="shared" si="4"/>
        <v>0</v>
      </c>
      <c r="L31" s="139">
        <f t="shared" si="4"/>
        <v>0</v>
      </c>
      <c r="M31" s="139">
        <f t="shared" si="4"/>
        <v>0</v>
      </c>
      <c r="N31" s="465">
        <f t="shared" si="4"/>
        <v>0</v>
      </c>
      <c r="O31" s="140">
        <f t="shared" si="2"/>
        <v>0</v>
      </c>
    </row>
    <row r="32" spans="1:15" ht="10.5">
      <c r="A32" s="198"/>
      <c r="B32" s="198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spans="1:15" ht="10.5">
      <c r="A33" s="3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79"/>
    </row>
    <row r="34" spans="2:15" ht="13.5" thickBot="1">
      <c r="B34" s="468" t="s">
        <v>26</v>
      </c>
      <c r="C34" s="469" t="str">
        <f>VLOOKUP(B34,Классификаторы!$A:$B,2,FALSE)</f>
        <v>Цех 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79"/>
    </row>
    <row r="35" spans="1:15" ht="10.5">
      <c r="A35" s="80" t="s">
        <v>0</v>
      </c>
      <c r="B35" s="55" t="s">
        <v>132</v>
      </c>
      <c r="C35" s="56">
        <v>39448</v>
      </c>
      <c r="D35" s="56">
        <v>39479</v>
      </c>
      <c r="E35" s="56">
        <v>39508</v>
      </c>
      <c r="F35" s="56">
        <v>39539</v>
      </c>
      <c r="G35" s="56">
        <v>39569</v>
      </c>
      <c r="H35" s="56">
        <v>39600</v>
      </c>
      <c r="I35" s="56">
        <v>39630</v>
      </c>
      <c r="J35" s="56">
        <v>39661</v>
      </c>
      <c r="K35" s="56">
        <v>39692</v>
      </c>
      <c r="L35" s="56">
        <v>39722</v>
      </c>
      <c r="M35" s="56">
        <v>39753</v>
      </c>
      <c r="N35" s="56">
        <v>39783</v>
      </c>
      <c r="O35" s="340" t="s">
        <v>67</v>
      </c>
    </row>
    <row r="36" spans="1:16" ht="10.5">
      <c r="A36" s="471" t="s">
        <v>7</v>
      </c>
      <c r="B36" s="472" t="str">
        <f>VLOOKUP(A36,Классификаторы!$A:$B,2,FALSE)</f>
        <v>Цеховые затраты</v>
      </c>
      <c r="C36" s="197">
        <f aca="true" t="shared" si="5" ref="C36:N36">SUM(C37:C42,C48,C50)</f>
        <v>0</v>
      </c>
      <c r="D36" s="197">
        <f t="shared" si="5"/>
        <v>0</v>
      </c>
      <c r="E36" s="197">
        <f t="shared" si="5"/>
        <v>0</v>
      </c>
      <c r="F36" s="197">
        <f t="shared" si="5"/>
        <v>0</v>
      </c>
      <c r="G36" s="197">
        <f t="shared" si="5"/>
        <v>0</v>
      </c>
      <c r="H36" s="197">
        <f t="shared" si="5"/>
        <v>0</v>
      </c>
      <c r="I36" s="197">
        <f t="shared" si="5"/>
        <v>0</v>
      </c>
      <c r="J36" s="197">
        <f t="shared" si="5"/>
        <v>0</v>
      </c>
      <c r="K36" s="197">
        <f t="shared" si="5"/>
        <v>0</v>
      </c>
      <c r="L36" s="197">
        <f t="shared" si="5"/>
        <v>0</v>
      </c>
      <c r="M36" s="197">
        <f t="shared" si="5"/>
        <v>0</v>
      </c>
      <c r="N36" s="318">
        <f t="shared" si="5"/>
        <v>0</v>
      </c>
      <c r="O36" s="192">
        <f aca="true" t="shared" si="6" ref="O36:O62">SUM(C36:N36)</f>
        <v>0</v>
      </c>
      <c r="P36" s="34"/>
    </row>
    <row r="37" spans="1:15" ht="10.5">
      <c r="A37" s="407" t="s">
        <v>8</v>
      </c>
      <c r="B37" s="473" t="str">
        <f>VLOOKUP(A37,Классификаторы!$A:$B,2,FALSE)</f>
        <v>Амортизация зданий и сооружений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474"/>
      <c r="O37" s="194">
        <f t="shared" si="6"/>
        <v>0</v>
      </c>
    </row>
    <row r="38" spans="1:15" ht="10.5">
      <c r="A38" s="407" t="s">
        <v>9</v>
      </c>
      <c r="B38" s="473" t="str">
        <f>VLOOKUP(A38,Классификаторы!$A:$B,2,FALSE)</f>
        <v>Амортизация технологического оборудования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474"/>
      <c r="O38" s="194">
        <f t="shared" si="6"/>
        <v>0</v>
      </c>
    </row>
    <row r="39" spans="1:15" ht="10.5">
      <c r="A39" s="407" t="s">
        <v>10</v>
      </c>
      <c r="B39" s="473" t="str">
        <f>VLOOKUP(A39,Классификаторы!$A:$B,2,FALSE)</f>
        <v>Затраты на охрану труда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474"/>
      <c r="O39" s="194">
        <f t="shared" si="6"/>
        <v>0</v>
      </c>
    </row>
    <row r="40" spans="1:15" ht="10.5">
      <c r="A40" s="407" t="s">
        <v>11</v>
      </c>
      <c r="B40" s="473" t="str">
        <f>VLOOKUP(A40,Классификаторы!$A:$B,2,FALSE)</f>
        <v>Зарплата управления цехов с отчислениями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474"/>
      <c r="O40" s="194">
        <f t="shared" si="6"/>
        <v>0</v>
      </c>
    </row>
    <row r="41" spans="1:15" ht="10.5">
      <c r="A41" s="407" t="s">
        <v>38</v>
      </c>
      <c r="B41" s="473" t="str">
        <f>VLOOKUP(A41,Классификаторы!$A:$B,2,FALSE)</f>
        <v>Прочая зарплата с отчислениями в составе цеховых затрат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474"/>
      <c r="O41" s="194">
        <f t="shared" si="6"/>
        <v>0</v>
      </c>
    </row>
    <row r="42" spans="1:15" ht="10.5">
      <c r="A42" s="407" t="s">
        <v>39</v>
      </c>
      <c r="B42" s="473" t="str">
        <f>VLOOKUP(A42,Классификаторы!$A:$B,2,FALSE)</f>
        <v>Затраты на содержание зданий и сооружений</v>
      </c>
      <c r="C42" s="112">
        <f aca="true" t="shared" si="7" ref="C42:N42">SUM(C43:C47)</f>
        <v>0</v>
      </c>
      <c r="D42" s="112">
        <f t="shared" si="7"/>
        <v>0</v>
      </c>
      <c r="E42" s="112">
        <f t="shared" si="7"/>
        <v>0</v>
      </c>
      <c r="F42" s="112">
        <f t="shared" si="7"/>
        <v>0</v>
      </c>
      <c r="G42" s="112">
        <f t="shared" si="7"/>
        <v>0</v>
      </c>
      <c r="H42" s="112">
        <f t="shared" si="7"/>
        <v>0</v>
      </c>
      <c r="I42" s="112">
        <f t="shared" si="7"/>
        <v>0</v>
      </c>
      <c r="J42" s="112">
        <f t="shared" si="7"/>
        <v>0</v>
      </c>
      <c r="K42" s="112">
        <f t="shared" si="7"/>
        <v>0</v>
      </c>
      <c r="L42" s="112">
        <f t="shared" si="7"/>
        <v>0</v>
      </c>
      <c r="M42" s="112">
        <f t="shared" si="7"/>
        <v>0</v>
      </c>
      <c r="N42" s="370">
        <f t="shared" si="7"/>
        <v>0</v>
      </c>
      <c r="O42" s="194">
        <f t="shared" si="6"/>
        <v>0</v>
      </c>
    </row>
    <row r="43" spans="1:15" ht="10.5">
      <c r="A43" s="407" t="s">
        <v>106</v>
      </c>
      <c r="B43" s="475" t="str">
        <f>VLOOKUP(A43,Классификаторы!$A:$B,2,FALSE)</f>
        <v>Зарплата вспомогательных рабочих с отчислениями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474"/>
      <c r="O43" s="194">
        <f t="shared" si="6"/>
        <v>0</v>
      </c>
    </row>
    <row r="44" spans="1:15" ht="10.5">
      <c r="A44" s="407" t="s">
        <v>107</v>
      </c>
      <c r="B44" s="475" t="str">
        <f>VLOOKUP(A44,Классификаторы!$A:$B,2,FALSE)</f>
        <v>Вода техническая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474"/>
      <c r="O44" s="194">
        <f t="shared" si="6"/>
        <v>0</v>
      </c>
    </row>
    <row r="45" spans="1:15" ht="10.5">
      <c r="A45" s="407" t="s">
        <v>108</v>
      </c>
      <c r="B45" s="475" t="str">
        <f>VLOOKUP(A45,Классификаторы!$A:$B,2,FALSE)</f>
        <v>ТЭР в составе цеховых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474"/>
      <c r="O45" s="194">
        <f t="shared" si="6"/>
        <v>0</v>
      </c>
    </row>
    <row r="46" spans="1:15" ht="10.5">
      <c r="A46" s="407" t="s">
        <v>109</v>
      </c>
      <c r="B46" s="475" t="str">
        <f>VLOOKUP(A46,Классификаторы!$A:$B,2,FALSE)</f>
        <v>Теплоэнергия в составе цеховых затрат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474"/>
      <c r="O46" s="194">
        <f t="shared" si="6"/>
        <v>0</v>
      </c>
    </row>
    <row r="47" spans="1:15" ht="10.5">
      <c r="A47" s="407" t="s">
        <v>110</v>
      </c>
      <c r="B47" s="475" t="str">
        <f>VLOOKUP(A47,Классификаторы!$A:$B,2,FALSE)</f>
        <v>Услуги сторонних организаций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474"/>
      <c r="O47" s="194">
        <f t="shared" si="6"/>
        <v>0</v>
      </c>
    </row>
    <row r="48" spans="1:15" ht="10.5">
      <c r="A48" s="407" t="s">
        <v>40</v>
      </c>
      <c r="B48" s="473" t="str">
        <f>VLOOKUP(A48,Классификаторы!$A:$B,2,FALSE)</f>
        <v>Текущий ремонт зданий и сооружений</v>
      </c>
      <c r="C48" s="112">
        <f aca="true" t="shared" si="8" ref="C48:N48">SUM(C49:C49)</f>
        <v>0</v>
      </c>
      <c r="D48" s="112">
        <f t="shared" si="8"/>
        <v>0</v>
      </c>
      <c r="E48" s="112">
        <f t="shared" si="8"/>
        <v>0</v>
      </c>
      <c r="F48" s="112">
        <f t="shared" si="8"/>
        <v>0</v>
      </c>
      <c r="G48" s="112">
        <f t="shared" si="8"/>
        <v>0</v>
      </c>
      <c r="H48" s="112">
        <f t="shared" si="8"/>
        <v>0</v>
      </c>
      <c r="I48" s="112">
        <f t="shared" si="8"/>
        <v>0</v>
      </c>
      <c r="J48" s="112">
        <f t="shared" si="8"/>
        <v>0</v>
      </c>
      <c r="K48" s="112">
        <f t="shared" si="8"/>
        <v>0</v>
      </c>
      <c r="L48" s="112">
        <f t="shared" si="8"/>
        <v>0</v>
      </c>
      <c r="M48" s="112">
        <f t="shared" si="8"/>
        <v>0</v>
      </c>
      <c r="N48" s="370">
        <f t="shared" si="8"/>
        <v>0</v>
      </c>
      <c r="O48" s="194">
        <f t="shared" si="6"/>
        <v>0</v>
      </c>
    </row>
    <row r="49" spans="1:15" ht="10.5">
      <c r="A49" s="407" t="s">
        <v>112</v>
      </c>
      <c r="B49" s="475" t="str">
        <f>VLOOKUP(A49,Классификаторы!$A:$B,2,FALSE)</f>
        <v>Услуги сторонних организаций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474"/>
      <c r="O49" s="194">
        <f t="shared" si="6"/>
        <v>0</v>
      </c>
    </row>
    <row r="50" spans="1:15" ht="10.5">
      <c r="A50" s="476" t="s">
        <v>41</v>
      </c>
      <c r="B50" s="477" t="str">
        <f>VLOOKUP(A50,Классификаторы!$A:$B,2,FALSE)</f>
        <v>Прочие затраты</v>
      </c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9"/>
      <c r="O50" s="367">
        <f t="shared" si="6"/>
        <v>0</v>
      </c>
    </row>
    <row r="51" spans="1:15" ht="10.5">
      <c r="A51" s="471" t="s">
        <v>12</v>
      </c>
      <c r="B51" s="472" t="str">
        <f>VLOOKUP(A51,Классификаторы!$A:$B,2,FALSE)</f>
        <v>Затраты на ремонт и содержание оборудования</v>
      </c>
      <c r="C51" s="197">
        <f aca="true" t="shared" si="9" ref="C51:N51">SUM(C52,C57)</f>
        <v>0</v>
      </c>
      <c r="D51" s="197">
        <f t="shared" si="9"/>
        <v>0</v>
      </c>
      <c r="E51" s="197">
        <f t="shared" si="9"/>
        <v>0</v>
      </c>
      <c r="F51" s="197">
        <f t="shared" si="9"/>
        <v>0</v>
      </c>
      <c r="G51" s="197">
        <f t="shared" si="9"/>
        <v>0</v>
      </c>
      <c r="H51" s="197">
        <f t="shared" si="9"/>
        <v>0</v>
      </c>
      <c r="I51" s="197">
        <f t="shared" si="9"/>
        <v>0</v>
      </c>
      <c r="J51" s="197">
        <f t="shared" si="9"/>
        <v>0</v>
      </c>
      <c r="K51" s="197">
        <f t="shared" si="9"/>
        <v>0</v>
      </c>
      <c r="L51" s="197">
        <f t="shared" si="9"/>
        <v>0</v>
      </c>
      <c r="M51" s="197">
        <f t="shared" si="9"/>
        <v>0</v>
      </c>
      <c r="N51" s="318">
        <f t="shared" si="9"/>
        <v>0</v>
      </c>
      <c r="O51" s="192">
        <f t="shared" si="6"/>
        <v>0</v>
      </c>
    </row>
    <row r="52" spans="1:15" ht="10.5">
      <c r="A52" s="407" t="s">
        <v>13</v>
      </c>
      <c r="B52" s="473" t="str">
        <f>VLOOKUP(A52,Классификаторы!$A:$B,2,FALSE)</f>
        <v>Содержание и эксплуатация технологического оборудования</v>
      </c>
      <c r="C52" s="112">
        <f aca="true" t="shared" si="10" ref="C52:N52">SUM(C53:C56)</f>
        <v>0</v>
      </c>
      <c r="D52" s="112">
        <f t="shared" si="10"/>
        <v>0</v>
      </c>
      <c r="E52" s="112">
        <f t="shared" si="10"/>
        <v>0</v>
      </c>
      <c r="F52" s="112">
        <f t="shared" si="10"/>
        <v>0</v>
      </c>
      <c r="G52" s="112">
        <f t="shared" si="10"/>
        <v>0</v>
      </c>
      <c r="H52" s="112">
        <f t="shared" si="10"/>
        <v>0</v>
      </c>
      <c r="I52" s="112">
        <f t="shared" si="10"/>
        <v>0</v>
      </c>
      <c r="J52" s="112">
        <f t="shared" si="10"/>
        <v>0</v>
      </c>
      <c r="K52" s="112">
        <f t="shared" si="10"/>
        <v>0</v>
      </c>
      <c r="L52" s="112">
        <f t="shared" si="10"/>
        <v>0</v>
      </c>
      <c r="M52" s="112">
        <f t="shared" si="10"/>
        <v>0</v>
      </c>
      <c r="N52" s="370">
        <f t="shared" si="10"/>
        <v>0</v>
      </c>
      <c r="O52" s="194">
        <f t="shared" si="6"/>
        <v>0</v>
      </c>
    </row>
    <row r="53" spans="1:16" ht="10.5">
      <c r="A53" s="407" t="s">
        <v>122</v>
      </c>
      <c r="B53" s="475" t="str">
        <f>VLOOKUP(A53,Классификаторы!$A:$B,2,FALSE)</f>
        <v>Услуги вспомогательных цехов</v>
      </c>
      <c r="C53" s="112">
        <f aca="true" t="shared" si="11" ref="C53:N53">SUMIF($P$126:$P$333,$P53,$C$126:$C$333)</f>
        <v>0</v>
      </c>
      <c r="D53" s="112">
        <f t="shared" si="11"/>
        <v>0</v>
      </c>
      <c r="E53" s="112">
        <f t="shared" si="11"/>
        <v>0</v>
      </c>
      <c r="F53" s="112">
        <f t="shared" si="11"/>
        <v>0</v>
      </c>
      <c r="G53" s="112">
        <f t="shared" si="11"/>
        <v>0</v>
      </c>
      <c r="H53" s="112">
        <f t="shared" si="11"/>
        <v>0</v>
      </c>
      <c r="I53" s="112">
        <f t="shared" si="11"/>
        <v>0</v>
      </c>
      <c r="J53" s="112">
        <f t="shared" si="11"/>
        <v>0</v>
      </c>
      <c r="K53" s="112">
        <f t="shared" si="11"/>
        <v>0</v>
      </c>
      <c r="L53" s="112">
        <f t="shared" si="11"/>
        <v>0</v>
      </c>
      <c r="M53" s="112">
        <f t="shared" si="11"/>
        <v>0</v>
      </c>
      <c r="N53" s="370">
        <f t="shared" si="11"/>
        <v>0</v>
      </c>
      <c r="O53" s="194">
        <f t="shared" si="6"/>
        <v>0</v>
      </c>
      <c r="P53" s="27" t="str">
        <f>CONCATENATE(A52,B34)</f>
        <v>3.1Ц_1</v>
      </c>
    </row>
    <row r="54" spans="1:15" ht="10.5">
      <c r="A54" s="407" t="s">
        <v>123</v>
      </c>
      <c r="B54" s="475" t="str">
        <f>VLOOKUP(A54,Классификаторы!$A:$B,2,FALSE)</f>
        <v>Эксплуатационные материалы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474"/>
      <c r="O54" s="194">
        <f t="shared" si="6"/>
        <v>0</v>
      </c>
    </row>
    <row r="55" spans="1:15" ht="10.5">
      <c r="A55" s="407" t="s">
        <v>124</v>
      </c>
      <c r="B55" s="475" t="str">
        <f>VLOOKUP(A55,Классификаторы!$A:$B,2,FALSE)</f>
        <v>ГСМ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474"/>
      <c r="O55" s="194">
        <f t="shared" si="6"/>
        <v>0</v>
      </c>
    </row>
    <row r="56" spans="1:15" ht="10.5">
      <c r="A56" s="407" t="s">
        <v>125</v>
      </c>
      <c r="B56" s="475" t="str">
        <f>VLOOKUP(A56,Классификаторы!$A:$B,2,FALSE)</f>
        <v>Услуги сторонних организаций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474"/>
      <c r="O56" s="194">
        <f t="shared" si="6"/>
        <v>0</v>
      </c>
    </row>
    <row r="57" spans="1:15" ht="10.5">
      <c r="A57" s="407" t="s">
        <v>14</v>
      </c>
      <c r="B57" s="473" t="str">
        <f>VLOOKUP(A57,Классификаторы!$A:$B,2,FALSE)</f>
        <v>Текущий ремонт технологического оборудования</v>
      </c>
      <c r="C57" s="112">
        <f aca="true" t="shared" si="12" ref="C57:N57">SUM(C58:C62)</f>
        <v>0</v>
      </c>
      <c r="D57" s="112">
        <f t="shared" si="12"/>
        <v>0</v>
      </c>
      <c r="E57" s="112">
        <f t="shared" si="12"/>
        <v>0</v>
      </c>
      <c r="F57" s="112">
        <f t="shared" si="12"/>
        <v>0</v>
      </c>
      <c r="G57" s="112">
        <f t="shared" si="12"/>
        <v>0</v>
      </c>
      <c r="H57" s="112">
        <f t="shared" si="12"/>
        <v>0</v>
      </c>
      <c r="I57" s="112">
        <f t="shared" si="12"/>
        <v>0</v>
      </c>
      <c r="J57" s="112">
        <f t="shared" si="12"/>
        <v>0</v>
      </c>
      <c r="K57" s="112">
        <f t="shared" si="12"/>
        <v>0</v>
      </c>
      <c r="L57" s="112">
        <f t="shared" si="12"/>
        <v>0</v>
      </c>
      <c r="M57" s="112">
        <f t="shared" si="12"/>
        <v>0</v>
      </c>
      <c r="N57" s="370">
        <f t="shared" si="12"/>
        <v>0</v>
      </c>
      <c r="O57" s="194">
        <f t="shared" si="6"/>
        <v>0</v>
      </c>
    </row>
    <row r="58" spans="1:16" ht="10.5">
      <c r="A58" s="407" t="s">
        <v>126</v>
      </c>
      <c r="B58" s="475" t="str">
        <f>VLOOKUP(A58,Классификаторы!$A:$B,2,FALSE)</f>
        <v>Услуги вспомогательных цехов</v>
      </c>
      <c r="C58" s="112">
        <f aca="true" t="shared" si="13" ref="C58:N58">SUMIF($P$126:$P$333,$P58,$C$126:$C$333)</f>
        <v>0</v>
      </c>
      <c r="D58" s="112">
        <f t="shared" si="13"/>
        <v>0</v>
      </c>
      <c r="E58" s="112">
        <f t="shared" si="13"/>
        <v>0</v>
      </c>
      <c r="F58" s="112">
        <f t="shared" si="13"/>
        <v>0</v>
      </c>
      <c r="G58" s="112">
        <f t="shared" si="13"/>
        <v>0</v>
      </c>
      <c r="H58" s="112">
        <f t="shared" si="13"/>
        <v>0</v>
      </c>
      <c r="I58" s="112">
        <f t="shared" si="13"/>
        <v>0</v>
      </c>
      <c r="J58" s="112">
        <f t="shared" si="13"/>
        <v>0</v>
      </c>
      <c r="K58" s="112">
        <f t="shared" si="13"/>
        <v>0</v>
      </c>
      <c r="L58" s="112">
        <f t="shared" si="13"/>
        <v>0</v>
      </c>
      <c r="M58" s="112">
        <f t="shared" si="13"/>
        <v>0</v>
      </c>
      <c r="N58" s="370">
        <f t="shared" si="13"/>
        <v>0</v>
      </c>
      <c r="O58" s="194">
        <f t="shared" si="6"/>
        <v>0</v>
      </c>
      <c r="P58" s="27" t="str">
        <f>CONCATENATE(A57,B34)</f>
        <v>3.2Ц_1</v>
      </c>
    </row>
    <row r="59" spans="1:15" ht="10.5">
      <c r="A59" s="407" t="s">
        <v>127</v>
      </c>
      <c r="B59" s="475" t="str">
        <f>VLOOKUP(A59,Классификаторы!$A:$B,2,FALSE)</f>
        <v>Зарплата рабочих РМЦ с отчислениями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474"/>
      <c r="O59" s="194">
        <f t="shared" si="6"/>
        <v>0</v>
      </c>
    </row>
    <row r="60" spans="1:15" ht="10.5">
      <c r="A60" s="407" t="s">
        <v>128</v>
      </c>
      <c r="B60" s="475" t="str">
        <f>VLOOKUP(A60,Классификаторы!$A:$B,2,FALSE)</f>
        <v>Расходные материалы для ремонта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74"/>
      <c r="O60" s="194">
        <f t="shared" si="6"/>
        <v>0</v>
      </c>
    </row>
    <row r="61" spans="1:15" ht="10.5">
      <c r="A61" s="407" t="s">
        <v>129</v>
      </c>
      <c r="B61" s="475" t="str">
        <f>VLOOKUP(A61,Классификаторы!$A:$B,2,FALSE)</f>
        <v>Запасные части для ремонта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74"/>
      <c r="O61" s="194">
        <f t="shared" si="6"/>
        <v>0</v>
      </c>
    </row>
    <row r="62" spans="1:15" ht="10.5">
      <c r="A62" s="476" t="s">
        <v>130</v>
      </c>
      <c r="B62" s="480" t="str">
        <f>VLOOKUP(A62,Классификаторы!$A:$B,2,FALSE)</f>
        <v>Услуги сторонних организаций</v>
      </c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9"/>
      <c r="O62" s="367">
        <f t="shared" si="6"/>
        <v>0</v>
      </c>
    </row>
    <row r="63" spans="1:15" ht="10.5">
      <c r="A63" s="198"/>
      <c r="B63" s="198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</row>
    <row r="65" spans="2:15" ht="13.5" thickBot="1">
      <c r="B65" s="468" t="s">
        <v>27</v>
      </c>
      <c r="C65" s="469" t="str">
        <f>VLOOKUP(B65,Классификаторы!$A:$B,2,FALSE)</f>
        <v>Цех 2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79"/>
    </row>
    <row r="66" spans="1:15" ht="10.5">
      <c r="A66" s="80" t="s">
        <v>0</v>
      </c>
      <c r="B66" s="55" t="s">
        <v>132</v>
      </c>
      <c r="C66" s="56">
        <v>39448</v>
      </c>
      <c r="D66" s="56">
        <v>39479</v>
      </c>
      <c r="E66" s="56">
        <v>39508</v>
      </c>
      <c r="F66" s="56">
        <v>39539</v>
      </c>
      <c r="G66" s="56">
        <v>39569</v>
      </c>
      <c r="H66" s="56">
        <v>39600</v>
      </c>
      <c r="I66" s="56">
        <v>39630</v>
      </c>
      <c r="J66" s="56">
        <v>39661</v>
      </c>
      <c r="K66" s="56">
        <v>39692</v>
      </c>
      <c r="L66" s="56">
        <v>39722</v>
      </c>
      <c r="M66" s="56">
        <v>39753</v>
      </c>
      <c r="N66" s="56">
        <v>39783</v>
      </c>
      <c r="O66" s="340" t="s">
        <v>67</v>
      </c>
    </row>
    <row r="67" spans="1:16" ht="10.5">
      <c r="A67" s="471" t="s">
        <v>7</v>
      </c>
      <c r="B67" s="472" t="str">
        <f>VLOOKUP(A67,Классификаторы!$A:$B,2,FALSE)</f>
        <v>Цеховые затраты</v>
      </c>
      <c r="C67" s="197">
        <f aca="true" t="shared" si="14" ref="C67:N67">SUM(C68:C73,C79,C81)</f>
        <v>0</v>
      </c>
      <c r="D67" s="197">
        <f t="shared" si="14"/>
        <v>0</v>
      </c>
      <c r="E67" s="197">
        <f t="shared" si="14"/>
        <v>0</v>
      </c>
      <c r="F67" s="197">
        <f t="shared" si="14"/>
        <v>0</v>
      </c>
      <c r="G67" s="197">
        <f t="shared" si="14"/>
        <v>0</v>
      </c>
      <c r="H67" s="197">
        <f t="shared" si="14"/>
        <v>0</v>
      </c>
      <c r="I67" s="197">
        <f t="shared" si="14"/>
        <v>0</v>
      </c>
      <c r="J67" s="197">
        <f t="shared" si="14"/>
        <v>0</v>
      </c>
      <c r="K67" s="197">
        <f t="shared" si="14"/>
        <v>0</v>
      </c>
      <c r="L67" s="197">
        <f t="shared" si="14"/>
        <v>0</v>
      </c>
      <c r="M67" s="197">
        <f t="shared" si="14"/>
        <v>0</v>
      </c>
      <c r="N67" s="318">
        <f t="shared" si="14"/>
        <v>0</v>
      </c>
      <c r="O67" s="192">
        <f aca="true" t="shared" si="15" ref="O67:O93">SUM(C67:N67)</f>
        <v>0</v>
      </c>
      <c r="P67" s="34"/>
    </row>
    <row r="68" spans="1:15" ht="10.5">
      <c r="A68" s="407" t="s">
        <v>8</v>
      </c>
      <c r="B68" s="473" t="str">
        <f>VLOOKUP(A68,Классификаторы!$A:$B,2,FALSE)</f>
        <v>Амортизация зданий и сооружений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474"/>
      <c r="O68" s="194">
        <f t="shared" si="15"/>
        <v>0</v>
      </c>
    </row>
    <row r="69" spans="1:15" ht="10.5">
      <c r="A69" s="407" t="s">
        <v>9</v>
      </c>
      <c r="B69" s="473" t="str">
        <f>VLOOKUP(A69,Классификаторы!$A:$B,2,FALSE)</f>
        <v>Амортизация технологического оборудования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474"/>
      <c r="O69" s="194">
        <f t="shared" si="15"/>
        <v>0</v>
      </c>
    </row>
    <row r="70" spans="1:15" ht="10.5">
      <c r="A70" s="407" t="s">
        <v>10</v>
      </c>
      <c r="B70" s="473" t="str">
        <f>VLOOKUP(A70,Классификаторы!$A:$B,2,FALSE)</f>
        <v>Затраты на охрану труда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474"/>
      <c r="O70" s="194">
        <f t="shared" si="15"/>
        <v>0</v>
      </c>
    </row>
    <row r="71" spans="1:15" ht="10.5">
      <c r="A71" s="407" t="s">
        <v>11</v>
      </c>
      <c r="B71" s="473" t="str">
        <f>VLOOKUP(A71,Классификаторы!$A:$B,2,FALSE)</f>
        <v>Зарплата управления цехов с отчислениями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474"/>
      <c r="O71" s="194">
        <f t="shared" si="15"/>
        <v>0</v>
      </c>
    </row>
    <row r="72" spans="1:15" ht="10.5">
      <c r="A72" s="407" t="s">
        <v>38</v>
      </c>
      <c r="B72" s="473" t="str">
        <f>VLOOKUP(A72,Классификаторы!$A:$B,2,FALSE)</f>
        <v>Прочая зарплата с отчислениями в составе цеховых затрат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474"/>
      <c r="O72" s="194">
        <f t="shared" si="15"/>
        <v>0</v>
      </c>
    </row>
    <row r="73" spans="1:15" ht="10.5">
      <c r="A73" s="407" t="s">
        <v>39</v>
      </c>
      <c r="B73" s="473" t="str">
        <f>VLOOKUP(A73,Классификаторы!$A:$B,2,FALSE)</f>
        <v>Затраты на содержание зданий и сооружений</v>
      </c>
      <c r="C73" s="112">
        <f aca="true" t="shared" si="16" ref="C73:N73">SUM(C74:C78)</f>
        <v>0</v>
      </c>
      <c r="D73" s="112">
        <f t="shared" si="16"/>
        <v>0</v>
      </c>
      <c r="E73" s="112">
        <f t="shared" si="16"/>
        <v>0</v>
      </c>
      <c r="F73" s="112">
        <f t="shared" si="16"/>
        <v>0</v>
      </c>
      <c r="G73" s="112">
        <f t="shared" si="16"/>
        <v>0</v>
      </c>
      <c r="H73" s="112">
        <f t="shared" si="16"/>
        <v>0</v>
      </c>
      <c r="I73" s="112">
        <f t="shared" si="16"/>
        <v>0</v>
      </c>
      <c r="J73" s="112">
        <f t="shared" si="16"/>
        <v>0</v>
      </c>
      <c r="K73" s="112">
        <f t="shared" si="16"/>
        <v>0</v>
      </c>
      <c r="L73" s="112">
        <f t="shared" si="16"/>
        <v>0</v>
      </c>
      <c r="M73" s="112">
        <f t="shared" si="16"/>
        <v>0</v>
      </c>
      <c r="N73" s="370">
        <f t="shared" si="16"/>
        <v>0</v>
      </c>
      <c r="O73" s="194">
        <f t="shared" si="15"/>
        <v>0</v>
      </c>
    </row>
    <row r="74" spans="1:15" ht="10.5">
      <c r="A74" s="407" t="s">
        <v>106</v>
      </c>
      <c r="B74" s="475" t="str">
        <f>VLOOKUP(A74,Классификаторы!$A:$B,2,FALSE)</f>
        <v>Зарплата вспомогательных рабочих с отчислениями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474"/>
      <c r="O74" s="194">
        <f t="shared" si="15"/>
        <v>0</v>
      </c>
    </row>
    <row r="75" spans="1:15" ht="10.5">
      <c r="A75" s="407" t="s">
        <v>107</v>
      </c>
      <c r="B75" s="475" t="str">
        <f>VLOOKUP(A75,Классификаторы!$A:$B,2,FALSE)</f>
        <v>Вода техническая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474"/>
      <c r="O75" s="194">
        <f t="shared" si="15"/>
        <v>0</v>
      </c>
    </row>
    <row r="76" spans="1:15" ht="10.5">
      <c r="A76" s="407" t="s">
        <v>108</v>
      </c>
      <c r="B76" s="475" t="str">
        <f>VLOOKUP(A76,Классификаторы!$A:$B,2,FALSE)</f>
        <v>ТЭР в составе цеховых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474"/>
      <c r="O76" s="194">
        <f t="shared" si="15"/>
        <v>0</v>
      </c>
    </row>
    <row r="77" spans="1:15" ht="10.5">
      <c r="A77" s="407" t="s">
        <v>109</v>
      </c>
      <c r="B77" s="475" t="str">
        <f>VLOOKUP(A77,Классификаторы!$A:$B,2,FALSE)</f>
        <v>Теплоэнергия в составе цеховых затрат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474"/>
      <c r="O77" s="194">
        <f t="shared" si="15"/>
        <v>0</v>
      </c>
    </row>
    <row r="78" spans="1:15" ht="10.5">
      <c r="A78" s="407" t="s">
        <v>110</v>
      </c>
      <c r="B78" s="475" t="str">
        <f>VLOOKUP(A78,Классификаторы!$A:$B,2,FALSE)</f>
        <v>Услуги сторонних организаций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474"/>
      <c r="O78" s="194">
        <f t="shared" si="15"/>
        <v>0</v>
      </c>
    </row>
    <row r="79" spans="1:15" ht="10.5">
      <c r="A79" s="407" t="s">
        <v>40</v>
      </c>
      <c r="B79" s="473" t="str">
        <f>VLOOKUP(A79,Классификаторы!$A:$B,2,FALSE)</f>
        <v>Текущий ремонт зданий и сооружений</v>
      </c>
      <c r="C79" s="112">
        <f aca="true" t="shared" si="17" ref="C79:N79">SUM(C80:C80)</f>
        <v>0</v>
      </c>
      <c r="D79" s="112">
        <f t="shared" si="17"/>
        <v>0</v>
      </c>
      <c r="E79" s="112">
        <f t="shared" si="17"/>
        <v>0</v>
      </c>
      <c r="F79" s="112">
        <f t="shared" si="17"/>
        <v>0</v>
      </c>
      <c r="G79" s="112">
        <f t="shared" si="17"/>
        <v>0</v>
      </c>
      <c r="H79" s="112">
        <f t="shared" si="17"/>
        <v>0</v>
      </c>
      <c r="I79" s="112">
        <f t="shared" si="17"/>
        <v>0</v>
      </c>
      <c r="J79" s="112">
        <f t="shared" si="17"/>
        <v>0</v>
      </c>
      <c r="K79" s="112">
        <f t="shared" si="17"/>
        <v>0</v>
      </c>
      <c r="L79" s="112">
        <f t="shared" si="17"/>
        <v>0</v>
      </c>
      <c r="M79" s="112">
        <f t="shared" si="17"/>
        <v>0</v>
      </c>
      <c r="N79" s="370">
        <f t="shared" si="17"/>
        <v>0</v>
      </c>
      <c r="O79" s="194">
        <f t="shared" si="15"/>
        <v>0</v>
      </c>
    </row>
    <row r="80" spans="1:15" ht="10.5">
      <c r="A80" s="407" t="s">
        <v>112</v>
      </c>
      <c r="B80" s="475" t="str">
        <f>VLOOKUP(A80,Классификаторы!$A:$B,2,FALSE)</f>
        <v>Услуги сторонних организаций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474"/>
      <c r="O80" s="194">
        <f t="shared" si="15"/>
        <v>0</v>
      </c>
    </row>
    <row r="81" spans="1:15" ht="10.5">
      <c r="A81" s="476" t="s">
        <v>41</v>
      </c>
      <c r="B81" s="477" t="str">
        <f>VLOOKUP(A81,Классификаторы!$A:$B,2,FALSE)</f>
        <v>Прочие затраты</v>
      </c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9"/>
      <c r="O81" s="367">
        <f t="shared" si="15"/>
        <v>0</v>
      </c>
    </row>
    <row r="82" spans="1:15" ht="10.5">
      <c r="A82" s="471" t="s">
        <v>12</v>
      </c>
      <c r="B82" s="472" t="str">
        <f>VLOOKUP(A82,Классификаторы!$A:$B,2,FALSE)</f>
        <v>Затраты на ремонт и содержание оборудования</v>
      </c>
      <c r="C82" s="197">
        <f aca="true" t="shared" si="18" ref="C82:N82">SUM(C83,C88)</f>
        <v>0</v>
      </c>
      <c r="D82" s="197">
        <f t="shared" si="18"/>
        <v>0</v>
      </c>
      <c r="E82" s="197">
        <f t="shared" si="18"/>
        <v>0</v>
      </c>
      <c r="F82" s="197">
        <f t="shared" si="18"/>
        <v>0</v>
      </c>
      <c r="G82" s="197">
        <f t="shared" si="18"/>
        <v>0</v>
      </c>
      <c r="H82" s="197">
        <f t="shared" si="18"/>
        <v>0</v>
      </c>
      <c r="I82" s="197">
        <f t="shared" si="18"/>
        <v>0</v>
      </c>
      <c r="J82" s="197">
        <f t="shared" si="18"/>
        <v>0</v>
      </c>
      <c r="K82" s="197">
        <f t="shared" si="18"/>
        <v>0</v>
      </c>
      <c r="L82" s="197">
        <f t="shared" si="18"/>
        <v>0</v>
      </c>
      <c r="M82" s="197">
        <f t="shared" si="18"/>
        <v>0</v>
      </c>
      <c r="N82" s="318">
        <f t="shared" si="18"/>
        <v>0</v>
      </c>
      <c r="O82" s="192">
        <f t="shared" si="15"/>
        <v>0</v>
      </c>
    </row>
    <row r="83" spans="1:15" ht="10.5">
      <c r="A83" s="407" t="s">
        <v>13</v>
      </c>
      <c r="B83" s="473" t="str">
        <f>VLOOKUP(A83,Классификаторы!$A:$B,2,FALSE)</f>
        <v>Содержание и эксплуатация технологического оборудования</v>
      </c>
      <c r="C83" s="112">
        <f aca="true" t="shared" si="19" ref="C83:N83">SUM(C84:C87)</f>
        <v>0</v>
      </c>
      <c r="D83" s="112">
        <f t="shared" si="19"/>
        <v>0</v>
      </c>
      <c r="E83" s="112">
        <f t="shared" si="19"/>
        <v>0</v>
      </c>
      <c r="F83" s="112">
        <f t="shared" si="19"/>
        <v>0</v>
      </c>
      <c r="G83" s="112">
        <f t="shared" si="19"/>
        <v>0</v>
      </c>
      <c r="H83" s="112">
        <f t="shared" si="19"/>
        <v>0</v>
      </c>
      <c r="I83" s="112">
        <f t="shared" si="19"/>
        <v>0</v>
      </c>
      <c r="J83" s="112">
        <f t="shared" si="19"/>
        <v>0</v>
      </c>
      <c r="K83" s="112">
        <f t="shared" si="19"/>
        <v>0</v>
      </c>
      <c r="L83" s="112">
        <f t="shared" si="19"/>
        <v>0</v>
      </c>
      <c r="M83" s="112">
        <f t="shared" si="19"/>
        <v>0</v>
      </c>
      <c r="N83" s="370">
        <f t="shared" si="19"/>
        <v>0</v>
      </c>
      <c r="O83" s="194">
        <f t="shared" si="15"/>
        <v>0</v>
      </c>
    </row>
    <row r="84" spans="1:16" ht="10.5">
      <c r="A84" s="407" t="s">
        <v>122</v>
      </c>
      <c r="B84" s="475" t="str">
        <f>VLOOKUP(A84,Классификаторы!$A:$B,2,FALSE)</f>
        <v>Услуги вспомогательных цехов</v>
      </c>
      <c r="C84" s="112">
        <f aca="true" t="shared" si="20" ref="C84:N84">SUMIF($P$126:$P$333,$P84,$C$126:$C$333)</f>
        <v>0</v>
      </c>
      <c r="D84" s="112">
        <f t="shared" si="20"/>
        <v>0</v>
      </c>
      <c r="E84" s="112">
        <f t="shared" si="20"/>
        <v>0</v>
      </c>
      <c r="F84" s="112">
        <f t="shared" si="20"/>
        <v>0</v>
      </c>
      <c r="G84" s="112">
        <f t="shared" si="20"/>
        <v>0</v>
      </c>
      <c r="H84" s="112">
        <f t="shared" si="20"/>
        <v>0</v>
      </c>
      <c r="I84" s="112">
        <f t="shared" si="20"/>
        <v>0</v>
      </c>
      <c r="J84" s="112">
        <f t="shared" si="20"/>
        <v>0</v>
      </c>
      <c r="K84" s="112">
        <f t="shared" si="20"/>
        <v>0</v>
      </c>
      <c r="L84" s="112">
        <f t="shared" si="20"/>
        <v>0</v>
      </c>
      <c r="M84" s="112">
        <f t="shared" si="20"/>
        <v>0</v>
      </c>
      <c r="N84" s="370">
        <f t="shared" si="20"/>
        <v>0</v>
      </c>
      <c r="O84" s="194">
        <f t="shared" si="15"/>
        <v>0</v>
      </c>
      <c r="P84" s="27" t="str">
        <f>CONCATENATE(A83,B65)</f>
        <v>3.1Ц_2</v>
      </c>
    </row>
    <row r="85" spans="1:15" ht="10.5">
      <c r="A85" s="407" t="s">
        <v>123</v>
      </c>
      <c r="B85" s="475" t="str">
        <f>VLOOKUP(A85,Классификаторы!$A:$B,2,FALSE)</f>
        <v>Эксплуатационные материалы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474"/>
      <c r="O85" s="194">
        <f t="shared" si="15"/>
        <v>0</v>
      </c>
    </row>
    <row r="86" spans="1:15" ht="10.5">
      <c r="A86" s="407" t="s">
        <v>124</v>
      </c>
      <c r="B86" s="475" t="str">
        <f>VLOOKUP(A86,Классификаторы!$A:$B,2,FALSE)</f>
        <v>ГСМ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474"/>
      <c r="O86" s="194">
        <f t="shared" si="15"/>
        <v>0</v>
      </c>
    </row>
    <row r="87" spans="1:15" ht="10.5">
      <c r="A87" s="407" t="s">
        <v>125</v>
      </c>
      <c r="B87" s="475" t="str">
        <f>VLOOKUP(A87,Классификаторы!$A:$B,2,FALSE)</f>
        <v>Услуги сторонних организаций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474"/>
      <c r="O87" s="194">
        <f t="shared" si="15"/>
        <v>0</v>
      </c>
    </row>
    <row r="88" spans="1:15" ht="10.5">
      <c r="A88" s="407" t="s">
        <v>14</v>
      </c>
      <c r="B88" s="473" t="str">
        <f>VLOOKUP(A88,Классификаторы!$A:$B,2,FALSE)</f>
        <v>Текущий ремонт технологического оборудования</v>
      </c>
      <c r="C88" s="112">
        <f aca="true" t="shared" si="21" ref="C88:N88">SUM(C89:C93)</f>
        <v>0</v>
      </c>
      <c r="D88" s="112">
        <f t="shared" si="21"/>
        <v>0</v>
      </c>
      <c r="E88" s="112">
        <f t="shared" si="21"/>
        <v>0</v>
      </c>
      <c r="F88" s="112">
        <f t="shared" si="21"/>
        <v>0</v>
      </c>
      <c r="G88" s="112">
        <f t="shared" si="21"/>
        <v>0</v>
      </c>
      <c r="H88" s="112">
        <f t="shared" si="21"/>
        <v>0</v>
      </c>
      <c r="I88" s="112">
        <f t="shared" si="21"/>
        <v>0</v>
      </c>
      <c r="J88" s="112">
        <f t="shared" si="21"/>
        <v>0</v>
      </c>
      <c r="K88" s="112">
        <f t="shared" si="21"/>
        <v>0</v>
      </c>
      <c r="L88" s="112">
        <f t="shared" si="21"/>
        <v>0</v>
      </c>
      <c r="M88" s="112">
        <f t="shared" si="21"/>
        <v>0</v>
      </c>
      <c r="N88" s="370">
        <f t="shared" si="21"/>
        <v>0</v>
      </c>
      <c r="O88" s="194">
        <f t="shared" si="15"/>
        <v>0</v>
      </c>
    </row>
    <row r="89" spans="1:16" ht="10.5">
      <c r="A89" s="407" t="s">
        <v>126</v>
      </c>
      <c r="B89" s="475" t="str">
        <f>VLOOKUP(A89,Классификаторы!$A:$B,2,FALSE)</f>
        <v>Услуги вспомогательных цехов</v>
      </c>
      <c r="C89" s="112">
        <f aca="true" t="shared" si="22" ref="C89:N89">SUMIF($P$126:$P$333,$P89,$C$126:$C$333)</f>
        <v>0</v>
      </c>
      <c r="D89" s="112">
        <f t="shared" si="22"/>
        <v>0</v>
      </c>
      <c r="E89" s="112">
        <f t="shared" si="22"/>
        <v>0</v>
      </c>
      <c r="F89" s="112">
        <f t="shared" si="22"/>
        <v>0</v>
      </c>
      <c r="G89" s="112">
        <f t="shared" si="22"/>
        <v>0</v>
      </c>
      <c r="H89" s="112">
        <f t="shared" si="22"/>
        <v>0</v>
      </c>
      <c r="I89" s="112">
        <f t="shared" si="22"/>
        <v>0</v>
      </c>
      <c r="J89" s="112">
        <f t="shared" si="22"/>
        <v>0</v>
      </c>
      <c r="K89" s="112">
        <f t="shared" si="22"/>
        <v>0</v>
      </c>
      <c r="L89" s="112">
        <f t="shared" si="22"/>
        <v>0</v>
      </c>
      <c r="M89" s="112">
        <f t="shared" si="22"/>
        <v>0</v>
      </c>
      <c r="N89" s="370">
        <f t="shared" si="22"/>
        <v>0</v>
      </c>
      <c r="O89" s="194">
        <f t="shared" si="15"/>
        <v>0</v>
      </c>
      <c r="P89" s="27" t="str">
        <f>CONCATENATE(A88,B65)</f>
        <v>3.2Ц_2</v>
      </c>
    </row>
    <row r="90" spans="1:15" ht="10.5">
      <c r="A90" s="407" t="s">
        <v>127</v>
      </c>
      <c r="B90" s="475" t="str">
        <f>VLOOKUP(A90,Классификаторы!$A:$B,2,FALSE)</f>
        <v>Зарплата рабочих РМЦ с отчислениями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474"/>
      <c r="O90" s="194">
        <f t="shared" si="15"/>
        <v>0</v>
      </c>
    </row>
    <row r="91" spans="1:15" ht="10.5">
      <c r="A91" s="407" t="s">
        <v>128</v>
      </c>
      <c r="B91" s="475" t="str">
        <f>VLOOKUP(A91,Классификаторы!$A:$B,2,FALSE)</f>
        <v>Расходные материалы для ремонта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474"/>
      <c r="O91" s="194">
        <f t="shared" si="15"/>
        <v>0</v>
      </c>
    </row>
    <row r="92" spans="1:15" ht="10.5">
      <c r="A92" s="407" t="s">
        <v>129</v>
      </c>
      <c r="B92" s="475" t="str">
        <f>VLOOKUP(A92,Классификаторы!$A:$B,2,FALSE)</f>
        <v>Запасные части для ремонта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474"/>
      <c r="O92" s="194">
        <f t="shared" si="15"/>
        <v>0</v>
      </c>
    </row>
    <row r="93" spans="1:15" ht="10.5">
      <c r="A93" s="476" t="s">
        <v>130</v>
      </c>
      <c r="B93" s="480" t="str">
        <f>VLOOKUP(A93,Классификаторы!$A:$B,2,FALSE)</f>
        <v>Услуги сторонних организаций</v>
      </c>
      <c r="C93" s="478"/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9"/>
      <c r="O93" s="367">
        <f t="shared" si="15"/>
        <v>0</v>
      </c>
    </row>
    <row r="96" spans="2:15" ht="13.5" thickBot="1">
      <c r="B96" s="468" t="s">
        <v>28</v>
      </c>
      <c r="C96" s="469" t="str">
        <f>VLOOKUP(B96,Классификаторы!$A:$B,2,FALSE)</f>
        <v>Цех 3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79"/>
    </row>
    <row r="97" spans="1:15" ht="10.5">
      <c r="A97" s="80" t="s">
        <v>0</v>
      </c>
      <c r="B97" s="55" t="s">
        <v>132</v>
      </c>
      <c r="C97" s="56">
        <v>39448</v>
      </c>
      <c r="D97" s="56">
        <v>39479</v>
      </c>
      <c r="E97" s="56">
        <v>39508</v>
      </c>
      <c r="F97" s="56">
        <v>39539</v>
      </c>
      <c r="G97" s="56">
        <v>39569</v>
      </c>
      <c r="H97" s="56">
        <v>39600</v>
      </c>
      <c r="I97" s="56">
        <v>39630</v>
      </c>
      <c r="J97" s="56">
        <v>39661</v>
      </c>
      <c r="K97" s="56">
        <v>39692</v>
      </c>
      <c r="L97" s="56">
        <v>39722</v>
      </c>
      <c r="M97" s="56">
        <v>39753</v>
      </c>
      <c r="N97" s="56">
        <v>39783</v>
      </c>
      <c r="O97" s="340" t="s">
        <v>67</v>
      </c>
    </row>
    <row r="98" spans="1:16" ht="10.5">
      <c r="A98" s="471" t="s">
        <v>7</v>
      </c>
      <c r="B98" s="472" t="str">
        <f>VLOOKUP(A98,Классификаторы!$A:$B,2,FALSE)</f>
        <v>Цеховые затраты</v>
      </c>
      <c r="C98" s="197">
        <f aca="true" t="shared" si="23" ref="C98:N98">SUM(C99:C104,C110,C112)</f>
        <v>0</v>
      </c>
      <c r="D98" s="197">
        <f t="shared" si="23"/>
        <v>0</v>
      </c>
      <c r="E98" s="197">
        <f t="shared" si="23"/>
        <v>0</v>
      </c>
      <c r="F98" s="197">
        <f t="shared" si="23"/>
        <v>0</v>
      </c>
      <c r="G98" s="197">
        <f t="shared" si="23"/>
        <v>0</v>
      </c>
      <c r="H98" s="197">
        <f t="shared" si="23"/>
        <v>0</v>
      </c>
      <c r="I98" s="197">
        <f t="shared" si="23"/>
        <v>0</v>
      </c>
      <c r="J98" s="197">
        <f t="shared" si="23"/>
        <v>0</v>
      </c>
      <c r="K98" s="197">
        <f t="shared" si="23"/>
        <v>0</v>
      </c>
      <c r="L98" s="197">
        <f t="shared" si="23"/>
        <v>0</v>
      </c>
      <c r="M98" s="197">
        <f t="shared" si="23"/>
        <v>0</v>
      </c>
      <c r="N98" s="318">
        <f t="shared" si="23"/>
        <v>0</v>
      </c>
      <c r="O98" s="192">
        <f aca="true" t="shared" si="24" ref="O98:O124">SUM(C98:N98)</f>
        <v>0</v>
      </c>
      <c r="P98" s="34"/>
    </row>
    <row r="99" spans="1:15" ht="10.5">
      <c r="A99" s="407" t="s">
        <v>8</v>
      </c>
      <c r="B99" s="473" t="str">
        <f>VLOOKUP(A99,Классификаторы!$A:$B,2,FALSE)</f>
        <v>Амортизация зданий и сооружений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474"/>
      <c r="O99" s="194">
        <f t="shared" si="24"/>
        <v>0</v>
      </c>
    </row>
    <row r="100" spans="1:15" ht="10.5">
      <c r="A100" s="407" t="s">
        <v>9</v>
      </c>
      <c r="B100" s="473" t="str">
        <f>VLOOKUP(A100,Классификаторы!$A:$B,2,FALSE)</f>
        <v>Амортизация технологического оборудования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474"/>
      <c r="O100" s="194">
        <f t="shared" si="24"/>
        <v>0</v>
      </c>
    </row>
    <row r="101" spans="1:15" ht="10.5">
      <c r="A101" s="407" t="s">
        <v>10</v>
      </c>
      <c r="B101" s="473" t="str">
        <f>VLOOKUP(A101,Классификаторы!$A:$B,2,FALSE)</f>
        <v>Затраты на охрану труда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474"/>
      <c r="O101" s="194">
        <f t="shared" si="24"/>
        <v>0</v>
      </c>
    </row>
    <row r="102" spans="1:15" ht="10.5">
      <c r="A102" s="407" t="s">
        <v>11</v>
      </c>
      <c r="B102" s="473" t="str">
        <f>VLOOKUP(A102,Классификаторы!$A:$B,2,FALSE)</f>
        <v>Зарплата управления цехов с отчислениями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474"/>
      <c r="O102" s="194">
        <f t="shared" si="24"/>
        <v>0</v>
      </c>
    </row>
    <row r="103" spans="1:15" ht="10.5">
      <c r="A103" s="407" t="s">
        <v>38</v>
      </c>
      <c r="B103" s="473" t="str">
        <f>VLOOKUP(A103,Классификаторы!$A:$B,2,FALSE)</f>
        <v>Прочая зарплата с отчислениями в составе цеховых затрат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474"/>
      <c r="O103" s="194">
        <f t="shared" si="24"/>
        <v>0</v>
      </c>
    </row>
    <row r="104" spans="1:15" ht="10.5">
      <c r="A104" s="407" t="s">
        <v>39</v>
      </c>
      <c r="B104" s="473" t="str">
        <f>VLOOKUP(A104,Классификаторы!$A:$B,2,FALSE)</f>
        <v>Затраты на содержание зданий и сооружений</v>
      </c>
      <c r="C104" s="112">
        <f aca="true" t="shared" si="25" ref="C104:N104">SUM(C105:C109)</f>
        <v>0</v>
      </c>
      <c r="D104" s="112">
        <f t="shared" si="25"/>
        <v>0</v>
      </c>
      <c r="E104" s="112">
        <f t="shared" si="25"/>
        <v>0</v>
      </c>
      <c r="F104" s="112">
        <f t="shared" si="25"/>
        <v>0</v>
      </c>
      <c r="G104" s="112">
        <f t="shared" si="25"/>
        <v>0</v>
      </c>
      <c r="H104" s="112">
        <f t="shared" si="25"/>
        <v>0</v>
      </c>
      <c r="I104" s="112">
        <f t="shared" si="25"/>
        <v>0</v>
      </c>
      <c r="J104" s="112">
        <f t="shared" si="25"/>
        <v>0</v>
      </c>
      <c r="K104" s="112">
        <f t="shared" si="25"/>
        <v>0</v>
      </c>
      <c r="L104" s="112">
        <f t="shared" si="25"/>
        <v>0</v>
      </c>
      <c r="M104" s="112">
        <f t="shared" si="25"/>
        <v>0</v>
      </c>
      <c r="N104" s="370">
        <f t="shared" si="25"/>
        <v>0</v>
      </c>
      <c r="O104" s="194">
        <f t="shared" si="24"/>
        <v>0</v>
      </c>
    </row>
    <row r="105" spans="1:15" ht="10.5">
      <c r="A105" s="407" t="s">
        <v>106</v>
      </c>
      <c r="B105" s="475" t="str">
        <f>VLOOKUP(A105,Классификаторы!$A:$B,2,FALSE)</f>
        <v>Зарплата вспомогательных рабочих с отчислениями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474"/>
      <c r="O105" s="194">
        <f t="shared" si="24"/>
        <v>0</v>
      </c>
    </row>
    <row r="106" spans="1:15" ht="10.5">
      <c r="A106" s="407" t="s">
        <v>107</v>
      </c>
      <c r="B106" s="475" t="str">
        <f>VLOOKUP(A106,Классификаторы!$A:$B,2,FALSE)</f>
        <v>Вода техническая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474"/>
      <c r="O106" s="194">
        <f t="shared" si="24"/>
        <v>0</v>
      </c>
    </row>
    <row r="107" spans="1:15" ht="10.5">
      <c r="A107" s="407" t="s">
        <v>108</v>
      </c>
      <c r="B107" s="475" t="str">
        <f>VLOOKUP(A107,Классификаторы!$A:$B,2,FALSE)</f>
        <v>ТЭР в составе цеховых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474"/>
      <c r="O107" s="194">
        <f t="shared" si="24"/>
        <v>0</v>
      </c>
    </row>
    <row r="108" spans="1:15" ht="10.5">
      <c r="A108" s="407" t="s">
        <v>109</v>
      </c>
      <c r="B108" s="475" t="str">
        <f>VLOOKUP(A108,Классификаторы!$A:$B,2,FALSE)</f>
        <v>Теплоэнергия в составе цеховых затрат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474"/>
      <c r="O108" s="194">
        <f t="shared" si="24"/>
        <v>0</v>
      </c>
    </row>
    <row r="109" spans="1:15" ht="10.5">
      <c r="A109" s="407" t="s">
        <v>110</v>
      </c>
      <c r="B109" s="475" t="str">
        <f>VLOOKUP(A109,Классификаторы!$A:$B,2,FALSE)</f>
        <v>Услуги сторонних организаций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474"/>
      <c r="O109" s="194">
        <f t="shared" si="24"/>
        <v>0</v>
      </c>
    </row>
    <row r="110" spans="1:15" ht="10.5">
      <c r="A110" s="407" t="s">
        <v>40</v>
      </c>
      <c r="B110" s="473" t="str">
        <f>VLOOKUP(A110,Классификаторы!$A:$B,2,FALSE)</f>
        <v>Текущий ремонт зданий и сооружений</v>
      </c>
      <c r="C110" s="112">
        <f aca="true" t="shared" si="26" ref="C110:N110">SUM(C111:C111)</f>
        <v>0</v>
      </c>
      <c r="D110" s="112">
        <f t="shared" si="26"/>
        <v>0</v>
      </c>
      <c r="E110" s="112">
        <f t="shared" si="26"/>
        <v>0</v>
      </c>
      <c r="F110" s="112">
        <f t="shared" si="26"/>
        <v>0</v>
      </c>
      <c r="G110" s="112">
        <f t="shared" si="26"/>
        <v>0</v>
      </c>
      <c r="H110" s="112">
        <f t="shared" si="26"/>
        <v>0</v>
      </c>
      <c r="I110" s="112">
        <f t="shared" si="26"/>
        <v>0</v>
      </c>
      <c r="J110" s="112">
        <f t="shared" si="26"/>
        <v>0</v>
      </c>
      <c r="K110" s="112">
        <f t="shared" si="26"/>
        <v>0</v>
      </c>
      <c r="L110" s="112">
        <f t="shared" si="26"/>
        <v>0</v>
      </c>
      <c r="M110" s="112">
        <f t="shared" si="26"/>
        <v>0</v>
      </c>
      <c r="N110" s="370">
        <f t="shared" si="26"/>
        <v>0</v>
      </c>
      <c r="O110" s="194">
        <f t="shared" si="24"/>
        <v>0</v>
      </c>
    </row>
    <row r="111" spans="1:15" ht="10.5">
      <c r="A111" s="407" t="s">
        <v>112</v>
      </c>
      <c r="B111" s="475" t="str">
        <f>VLOOKUP(A111,Классификаторы!$A:$B,2,FALSE)</f>
        <v>Услуги сторонних организаций</v>
      </c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474"/>
      <c r="O111" s="194">
        <f t="shared" si="24"/>
        <v>0</v>
      </c>
    </row>
    <row r="112" spans="1:15" ht="10.5">
      <c r="A112" s="476" t="s">
        <v>41</v>
      </c>
      <c r="B112" s="477" t="str">
        <f>VLOOKUP(A112,Классификаторы!$A:$B,2,FALSE)</f>
        <v>Прочие затраты</v>
      </c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9"/>
      <c r="O112" s="367">
        <f t="shared" si="24"/>
        <v>0</v>
      </c>
    </row>
    <row r="113" spans="1:15" ht="10.5">
      <c r="A113" s="471" t="s">
        <v>12</v>
      </c>
      <c r="B113" s="472" t="str">
        <f>VLOOKUP(A113,Классификаторы!$A:$B,2,FALSE)</f>
        <v>Затраты на ремонт и содержание оборудования</v>
      </c>
      <c r="C113" s="197">
        <f aca="true" t="shared" si="27" ref="C113:N113">SUM(C114,C119)</f>
        <v>0</v>
      </c>
      <c r="D113" s="197">
        <f t="shared" si="27"/>
        <v>0</v>
      </c>
      <c r="E113" s="197">
        <f t="shared" si="27"/>
        <v>0</v>
      </c>
      <c r="F113" s="197">
        <f t="shared" si="27"/>
        <v>0</v>
      </c>
      <c r="G113" s="197">
        <f t="shared" si="27"/>
        <v>0</v>
      </c>
      <c r="H113" s="197">
        <f t="shared" si="27"/>
        <v>0</v>
      </c>
      <c r="I113" s="197">
        <f t="shared" si="27"/>
        <v>0</v>
      </c>
      <c r="J113" s="197">
        <f t="shared" si="27"/>
        <v>0</v>
      </c>
      <c r="K113" s="197">
        <f t="shared" si="27"/>
        <v>0</v>
      </c>
      <c r="L113" s="197">
        <f t="shared" si="27"/>
        <v>0</v>
      </c>
      <c r="M113" s="197">
        <f t="shared" si="27"/>
        <v>0</v>
      </c>
      <c r="N113" s="318">
        <f t="shared" si="27"/>
        <v>0</v>
      </c>
      <c r="O113" s="192">
        <f t="shared" si="24"/>
        <v>0</v>
      </c>
    </row>
    <row r="114" spans="1:15" ht="10.5">
      <c r="A114" s="407" t="s">
        <v>13</v>
      </c>
      <c r="B114" s="473" t="str">
        <f>VLOOKUP(A114,Классификаторы!$A:$B,2,FALSE)</f>
        <v>Содержание и эксплуатация технологического оборудования</v>
      </c>
      <c r="C114" s="112">
        <f aca="true" t="shared" si="28" ref="C114:N114">SUM(C115:C118)</f>
        <v>0</v>
      </c>
      <c r="D114" s="112">
        <f t="shared" si="28"/>
        <v>0</v>
      </c>
      <c r="E114" s="112">
        <f t="shared" si="28"/>
        <v>0</v>
      </c>
      <c r="F114" s="112">
        <f t="shared" si="28"/>
        <v>0</v>
      </c>
      <c r="G114" s="112">
        <f t="shared" si="28"/>
        <v>0</v>
      </c>
      <c r="H114" s="112">
        <f t="shared" si="28"/>
        <v>0</v>
      </c>
      <c r="I114" s="112">
        <f t="shared" si="28"/>
        <v>0</v>
      </c>
      <c r="J114" s="112">
        <f t="shared" si="28"/>
        <v>0</v>
      </c>
      <c r="K114" s="112">
        <f t="shared" si="28"/>
        <v>0</v>
      </c>
      <c r="L114" s="112">
        <f t="shared" si="28"/>
        <v>0</v>
      </c>
      <c r="M114" s="112">
        <f t="shared" si="28"/>
        <v>0</v>
      </c>
      <c r="N114" s="370">
        <f t="shared" si="28"/>
        <v>0</v>
      </c>
      <c r="O114" s="194">
        <f t="shared" si="24"/>
        <v>0</v>
      </c>
    </row>
    <row r="115" spans="1:16" ht="10.5">
      <c r="A115" s="407" t="s">
        <v>122</v>
      </c>
      <c r="B115" s="475" t="str">
        <f>VLOOKUP(A115,Классификаторы!$A:$B,2,FALSE)</f>
        <v>Услуги вспомогательных цехов</v>
      </c>
      <c r="C115" s="112">
        <f aca="true" t="shared" si="29" ref="C115:N115">SUMIF($P$126:$P$333,$P115,$C$126:$C$333)</f>
        <v>0</v>
      </c>
      <c r="D115" s="112">
        <f t="shared" si="29"/>
        <v>0</v>
      </c>
      <c r="E115" s="112">
        <f t="shared" si="29"/>
        <v>0</v>
      </c>
      <c r="F115" s="112">
        <f t="shared" si="29"/>
        <v>0</v>
      </c>
      <c r="G115" s="112">
        <f t="shared" si="29"/>
        <v>0</v>
      </c>
      <c r="H115" s="112">
        <f t="shared" si="29"/>
        <v>0</v>
      </c>
      <c r="I115" s="112">
        <f t="shared" si="29"/>
        <v>0</v>
      </c>
      <c r="J115" s="112">
        <f t="shared" si="29"/>
        <v>0</v>
      </c>
      <c r="K115" s="112">
        <f t="shared" si="29"/>
        <v>0</v>
      </c>
      <c r="L115" s="112">
        <f t="shared" si="29"/>
        <v>0</v>
      </c>
      <c r="M115" s="112">
        <f t="shared" si="29"/>
        <v>0</v>
      </c>
      <c r="N115" s="370">
        <f t="shared" si="29"/>
        <v>0</v>
      </c>
      <c r="O115" s="194">
        <f t="shared" si="24"/>
        <v>0</v>
      </c>
      <c r="P115" s="27" t="str">
        <f>CONCATENATE(A114,B96)</f>
        <v>3.1Ц_3</v>
      </c>
    </row>
    <row r="116" spans="1:15" ht="10.5">
      <c r="A116" s="407" t="s">
        <v>123</v>
      </c>
      <c r="B116" s="475" t="str">
        <f>VLOOKUP(A116,Классификаторы!$A:$B,2,FALSE)</f>
        <v>Эксплуатационные материалы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474"/>
      <c r="O116" s="194">
        <f t="shared" si="24"/>
        <v>0</v>
      </c>
    </row>
    <row r="117" spans="1:15" ht="10.5">
      <c r="A117" s="407" t="s">
        <v>124</v>
      </c>
      <c r="B117" s="475" t="str">
        <f>VLOOKUP(A117,Классификаторы!$A:$B,2,FALSE)</f>
        <v>ГСМ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474"/>
      <c r="O117" s="194">
        <f t="shared" si="24"/>
        <v>0</v>
      </c>
    </row>
    <row r="118" spans="1:15" ht="10.5">
      <c r="A118" s="407" t="s">
        <v>125</v>
      </c>
      <c r="B118" s="475" t="str">
        <f>VLOOKUP(A118,Классификаторы!$A:$B,2,FALSE)</f>
        <v>Услуги сторонних организаций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474"/>
      <c r="O118" s="194">
        <f t="shared" si="24"/>
        <v>0</v>
      </c>
    </row>
    <row r="119" spans="1:15" ht="10.5">
      <c r="A119" s="407" t="s">
        <v>14</v>
      </c>
      <c r="B119" s="473" t="str">
        <f>VLOOKUP(A119,Классификаторы!$A:$B,2,FALSE)</f>
        <v>Текущий ремонт технологического оборудования</v>
      </c>
      <c r="C119" s="112">
        <f aca="true" t="shared" si="30" ref="C119:N119">SUM(C120:C124)</f>
        <v>0</v>
      </c>
      <c r="D119" s="112">
        <f t="shared" si="30"/>
        <v>0</v>
      </c>
      <c r="E119" s="112">
        <f t="shared" si="30"/>
        <v>0</v>
      </c>
      <c r="F119" s="112">
        <f t="shared" si="30"/>
        <v>0</v>
      </c>
      <c r="G119" s="112">
        <f t="shared" si="30"/>
        <v>0</v>
      </c>
      <c r="H119" s="112">
        <f t="shared" si="30"/>
        <v>0</v>
      </c>
      <c r="I119" s="112">
        <f t="shared" si="30"/>
        <v>0</v>
      </c>
      <c r="J119" s="112">
        <f t="shared" si="30"/>
        <v>0</v>
      </c>
      <c r="K119" s="112">
        <f t="shared" si="30"/>
        <v>0</v>
      </c>
      <c r="L119" s="112">
        <f t="shared" si="30"/>
        <v>0</v>
      </c>
      <c r="M119" s="112">
        <f t="shared" si="30"/>
        <v>0</v>
      </c>
      <c r="N119" s="370">
        <f t="shared" si="30"/>
        <v>0</v>
      </c>
      <c r="O119" s="194">
        <f t="shared" si="24"/>
        <v>0</v>
      </c>
    </row>
    <row r="120" spans="1:16" ht="10.5">
      <c r="A120" s="407" t="s">
        <v>126</v>
      </c>
      <c r="B120" s="475" t="str">
        <f>VLOOKUP(A120,Классификаторы!$A:$B,2,FALSE)</f>
        <v>Услуги вспомогательных цехов</v>
      </c>
      <c r="C120" s="112">
        <f aca="true" t="shared" si="31" ref="C120:N120">SUMIF($P$126:$P$333,$P120,$C$126:$C$333)</f>
        <v>0</v>
      </c>
      <c r="D120" s="112">
        <f t="shared" si="31"/>
        <v>0</v>
      </c>
      <c r="E120" s="112">
        <f t="shared" si="31"/>
        <v>0</v>
      </c>
      <c r="F120" s="112">
        <f t="shared" si="31"/>
        <v>0</v>
      </c>
      <c r="G120" s="112">
        <f t="shared" si="31"/>
        <v>0</v>
      </c>
      <c r="H120" s="112">
        <f t="shared" si="31"/>
        <v>0</v>
      </c>
      <c r="I120" s="112">
        <f t="shared" si="31"/>
        <v>0</v>
      </c>
      <c r="J120" s="112">
        <f t="shared" si="31"/>
        <v>0</v>
      </c>
      <c r="K120" s="112">
        <f t="shared" si="31"/>
        <v>0</v>
      </c>
      <c r="L120" s="112">
        <f t="shared" si="31"/>
        <v>0</v>
      </c>
      <c r="M120" s="112">
        <f t="shared" si="31"/>
        <v>0</v>
      </c>
      <c r="N120" s="370">
        <f t="shared" si="31"/>
        <v>0</v>
      </c>
      <c r="O120" s="194">
        <f t="shared" si="24"/>
        <v>0</v>
      </c>
      <c r="P120" s="27" t="str">
        <f>CONCATENATE(A119,B96)</f>
        <v>3.2Ц_3</v>
      </c>
    </row>
    <row r="121" spans="1:15" ht="10.5">
      <c r="A121" s="407" t="s">
        <v>127</v>
      </c>
      <c r="B121" s="475" t="str">
        <f>VLOOKUP(A121,Классификаторы!$A:$B,2,FALSE)</f>
        <v>Зарплата рабочих РМЦ с отчислениями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474"/>
      <c r="O121" s="194">
        <f t="shared" si="24"/>
        <v>0</v>
      </c>
    </row>
    <row r="122" spans="1:15" ht="10.5">
      <c r="A122" s="407" t="s">
        <v>128</v>
      </c>
      <c r="B122" s="475" t="str">
        <f>VLOOKUP(A122,Классификаторы!$A:$B,2,FALSE)</f>
        <v>Расходные материалы для ремонта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474"/>
      <c r="O122" s="194">
        <f t="shared" si="24"/>
        <v>0</v>
      </c>
    </row>
    <row r="123" spans="1:15" ht="10.5">
      <c r="A123" s="407" t="s">
        <v>129</v>
      </c>
      <c r="B123" s="475" t="str">
        <f>VLOOKUP(A123,Классификаторы!$A:$B,2,FALSE)</f>
        <v>Запасные части для ремонта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474"/>
      <c r="O123" s="194">
        <f t="shared" si="24"/>
        <v>0</v>
      </c>
    </row>
    <row r="124" spans="1:15" ht="10.5">
      <c r="A124" s="476" t="s">
        <v>130</v>
      </c>
      <c r="B124" s="480" t="str">
        <f>VLOOKUP(A124,Классификаторы!$A:$B,2,FALSE)</f>
        <v>Услуги сторонних организаций</v>
      </c>
      <c r="C124" s="478"/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9"/>
      <c r="O124" s="367">
        <f t="shared" si="24"/>
        <v>0</v>
      </c>
    </row>
    <row r="126" spans="3:15" ht="10.5">
      <c r="C126" s="79" t="s">
        <v>131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79"/>
    </row>
    <row r="127" spans="1:15" ht="10.5">
      <c r="A127" s="3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79"/>
    </row>
    <row r="128" spans="2:15" ht="13.5" thickBot="1">
      <c r="B128" s="468" t="s">
        <v>29</v>
      </c>
      <c r="C128" s="469" t="str">
        <f>VLOOKUP(B128,Классификаторы!$A:$B,2,FALSE)</f>
        <v>Цех 4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79"/>
    </row>
    <row r="129" spans="1:15" ht="10.5">
      <c r="A129" s="80" t="s">
        <v>0</v>
      </c>
      <c r="B129" s="55" t="s">
        <v>132</v>
      </c>
      <c r="C129" s="56">
        <v>39448</v>
      </c>
      <c r="D129" s="56">
        <v>39479</v>
      </c>
      <c r="E129" s="56">
        <v>39508</v>
      </c>
      <c r="F129" s="56">
        <v>39539</v>
      </c>
      <c r="G129" s="56">
        <v>39569</v>
      </c>
      <c r="H129" s="56">
        <v>39600</v>
      </c>
      <c r="I129" s="56">
        <v>39630</v>
      </c>
      <c r="J129" s="56">
        <v>39661</v>
      </c>
      <c r="K129" s="56">
        <v>39692</v>
      </c>
      <c r="L129" s="56">
        <v>39722</v>
      </c>
      <c r="M129" s="56">
        <v>39753</v>
      </c>
      <c r="N129" s="56">
        <v>39783</v>
      </c>
      <c r="O129" s="340" t="s">
        <v>67</v>
      </c>
    </row>
    <row r="130" spans="1:16" ht="10.5">
      <c r="A130" s="471" t="s">
        <v>7</v>
      </c>
      <c r="B130" s="481" t="str">
        <f>VLOOKUP(A130,Классификаторы!$A:$B,2,FALSE)</f>
        <v>Цеховые затраты</v>
      </c>
      <c r="C130" s="197">
        <f aca="true" t="shared" si="32" ref="C130:N130">SUM(C131:C136,C142,C144)</f>
        <v>0</v>
      </c>
      <c r="D130" s="197">
        <f t="shared" si="32"/>
        <v>0</v>
      </c>
      <c r="E130" s="197">
        <f t="shared" si="32"/>
        <v>0</v>
      </c>
      <c r="F130" s="197">
        <f t="shared" si="32"/>
        <v>0</v>
      </c>
      <c r="G130" s="197">
        <f t="shared" si="32"/>
        <v>0</v>
      </c>
      <c r="H130" s="197">
        <f t="shared" si="32"/>
        <v>0</v>
      </c>
      <c r="I130" s="197">
        <f t="shared" si="32"/>
        <v>0</v>
      </c>
      <c r="J130" s="197">
        <f t="shared" si="32"/>
        <v>0</v>
      </c>
      <c r="K130" s="197">
        <f t="shared" si="32"/>
        <v>0</v>
      </c>
      <c r="L130" s="197">
        <f t="shared" si="32"/>
        <v>0</v>
      </c>
      <c r="M130" s="197">
        <f t="shared" si="32"/>
        <v>0</v>
      </c>
      <c r="N130" s="318">
        <f t="shared" si="32"/>
        <v>0</v>
      </c>
      <c r="O130" s="84">
        <f aca="true" t="shared" si="33" ref="O130:O154">SUM(C130:N130)</f>
        <v>0</v>
      </c>
      <c r="P130" s="34"/>
    </row>
    <row r="131" spans="1:15" ht="10.5">
      <c r="A131" s="407" t="s">
        <v>8</v>
      </c>
      <c r="B131" s="475" t="str">
        <f>VLOOKUP(A131,Классификаторы!$A:$B,2,FALSE)</f>
        <v>Амортизация зданий и сооружений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474"/>
      <c r="O131" s="144">
        <f t="shared" si="33"/>
        <v>0</v>
      </c>
    </row>
    <row r="132" spans="1:15" ht="10.5">
      <c r="A132" s="407" t="s">
        <v>9</v>
      </c>
      <c r="B132" s="475" t="str">
        <f>VLOOKUP(A132,Классификаторы!$A:$B,2,FALSE)</f>
        <v>Амортизация технологического оборудования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474"/>
      <c r="O132" s="144">
        <f t="shared" si="33"/>
        <v>0</v>
      </c>
    </row>
    <row r="133" spans="1:15" ht="10.5">
      <c r="A133" s="407" t="s">
        <v>10</v>
      </c>
      <c r="B133" s="475" t="str">
        <f>VLOOKUP(A133,Классификаторы!$A:$B,2,FALSE)</f>
        <v>Затраты на охрану труда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474"/>
      <c r="O133" s="144">
        <f t="shared" si="33"/>
        <v>0</v>
      </c>
    </row>
    <row r="134" spans="1:15" ht="10.5">
      <c r="A134" s="407" t="s">
        <v>11</v>
      </c>
      <c r="B134" s="475" t="str">
        <f>VLOOKUP(A134,Классификаторы!$A:$B,2,FALSE)</f>
        <v>Зарплата управления цехов с отчислениями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474"/>
      <c r="O134" s="144">
        <f t="shared" si="33"/>
        <v>0</v>
      </c>
    </row>
    <row r="135" spans="1:15" ht="10.5">
      <c r="A135" s="407" t="s">
        <v>38</v>
      </c>
      <c r="B135" s="475" t="str">
        <f>VLOOKUP(A135,Классификаторы!$A:$B,2,FALSE)</f>
        <v>Прочая зарплата с отчислениями в составе цеховых затрат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474"/>
      <c r="O135" s="144">
        <f t="shared" si="33"/>
        <v>0</v>
      </c>
    </row>
    <row r="136" spans="1:15" ht="10.5">
      <c r="A136" s="407" t="s">
        <v>39</v>
      </c>
      <c r="B136" s="475" t="str">
        <f>VLOOKUP(A136,Классификаторы!$A:$B,2,FALSE)</f>
        <v>Затраты на содержание зданий и сооружений</v>
      </c>
      <c r="C136" s="112">
        <f aca="true" t="shared" si="34" ref="C136:N136">SUM(C137:C141)</f>
        <v>0</v>
      </c>
      <c r="D136" s="112">
        <f t="shared" si="34"/>
        <v>0</v>
      </c>
      <c r="E136" s="112">
        <f t="shared" si="34"/>
        <v>0</v>
      </c>
      <c r="F136" s="112">
        <f t="shared" si="34"/>
        <v>0</v>
      </c>
      <c r="G136" s="112">
        <f t="shared" si="34"/>
        <v>0</v>
      </c>
      <c r="H136" s="112">
        <f t="shared" si="34"/>
        <v>0</v>
      </c>
      <c r="I136" s="112">
        <f t="shared" si="34"/>
        <v>0</v>
      </c>
      <c r="J136" s="112">
        <f t="shared" si="34"/>
        <v>0</v>
      </c>
      <c r="K136" s="112">
        <f t="shared" si="34"/>
        <v>0</v>
      </c>
      <c r="L136" s="112">
        <f t="shared" si="34"/>
        <v>0</v>
      </c>
      <c r="M136" s="112">
        <f t="shared" si="34"/>
        <v>0</v>
      </c>
      <c r="N136" s="370">
        <f t="shared" si="34"/>
        <v>0</v>
      </c>
      <c r="O136" s="144">
        <f t="shared" si="33"/>
        <v>0</v>
      </c>
    </row>
    <row r="137" spans="1:15" ht="10.5">
      <c r="A137" s="407" t="s">
        <v>106</v>
      </c>
      <c r="B137" s="475" t="str">
        <f>VLOOKUP(A137,Классификаторы!$A:$B,2,FALSE)</f>
        <v>Зарплата вспомогательных рабочих с отчислениями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474"/>
      <c r="O137" s="144">
        <f t="shared" si="33"/>
        <v>0</v>
      </c>
    </row>
    <row r="138" spans="1:15" ht="10.5">
      <c r="A138" s="407" t="s">
        <v>107</v>
      </c>
      <c r="B138" s="475" t="str">
        <f>VLOOKUP(A138,Классификаторы!$A:$B,2,FALSE)</f>
        <v>Вода техническая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474"/>
      <c r="O138" s="144">
        <f t="shared" si="33"/>
        <v>0</v>
      </c>
    </row>
    <row r="139" spans="1:15" ht="10.5">
      <c r="A139" s="407" t="s">
        <v>108</v>
      </c>
      <c r="B139" s="475" t="str">
        <f>VLOOKUP(A139,Классификаторы!$A:$B,2,FALSE)</f>
        <v>ТЭР в составе цеховых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474"/>
      <c r="O139" s="144">
        <f t="shared" si="33"/>
        <v>0</v>
      </c>
    </row>
    <row r="140" spans="1:15" ht="10.5">
      <c r="A140" s="407" t="s">
        <v>109</v>
      </c>
      <c r="B140" s="475" t="str">
        <f>VLOOKUP(A140,Классификаторы!$A:$B,2,FALSE)</f>
        <v>Теплоэнергия в составе цеховых затрат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474"/>
      <c r="O140" s="144">
        <f t="shared" si="33"/>
        <v>0</v>
      </c>
    </row>
    <row r="141" spans="1:15" ht="10.5">
      <c r="A141" s="407" t="s">
        <v>110</v>
      </c>
      <c r="B141" s="475" t="str">
        <f>VLOOKUP(A141,Классификаторы!$A:$B,2,FALSE)</f>
        <v>Услуги сторонних организаций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474"/>
      <c r="O141" s="144">
        <f t="shared" si="33"/>
        <v>0</v>
      </c>
    </row>
    <row r="142" spans="1:15" ht="10.5">
      <c r="A142" s="407" t="s">
        <v>40</v>
      </c>
      <c r="B142" s="475" t="str">
        <f>VLOOKUP(A142,Классификаторы!$A:$B,2,FALSE)</f>
        <v>Текущий ремонт зданий и сооружений</v>
      </c>
      <c r="C142" s="112">
        <f aca="true" t="shared" si="35" ref="C142:N142">SUM(C143)</f>
        <v>0</v>
      </c>
      <c r="D142" s="112">
        <f t="shared" si="35"/>
        <v>0</v>
      </c>
      <c r="E142" s="112">
        <f t="shared" si="35"/>
        <v>0</v>
      </c>
      <c r="F142" s="112">
        <f t="shared" si="35"/>
        <v>0</v>
      </c>
      <c r="G142" s="112">
        <f t="shared" si="35"/>
        <v>0</v>
      </c>
      <c r="H142" s="112">
        <f t="shared" si="35"/>
        <v>0</v>
      </c>
      <c r="I142" s="112">
        <f t="shared" si="35"/>
        <v>0</v>
      </c>
      <c r="J142" s="112">
        <f t="shared" si="35"/>
        <v>0</v>
      </c>
      <c r="K142" s="112">
        <f t="shared" si="35"/>
        <v>0</v>
      </c>
      <c r="L142" s="112">
        <f t="shared" si="35"/>
        <v>0</v>
      </c>
      <c r="M142" s="112">
        <f t="shared" si="35"/>
        <v>0</v>
      </c>
      <c r="N142" s="370">
        <f t="shared" si="35"/>
        <v>0</v>
      </c>
      <c r="O142" s="144">
        <f t="shared" si="33"/>
        <v>0</v>
      </c>
    </row>
    <row r="143" spans="1:15" ht="10.5">
      <c r="A143" s="407" t="s">
        <v>112</v>
      </c>
      <c r="B143" s="475" t="str">
        <f>VLOOKUP(A143,Классификаторы!$A:$B,2,FALSE)</f>
        <v>Услуги сторонних организаций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474"/>
      <c r="O143" s="144">
        <f t="shared" si="33"/>
        <v>0</v>
      </c>
    </row>
    <row r="144" spans="1:15" ht="10.5">
      <c r="A144" s="476" t="s">
        <v>41</v>
      </c>
      <c r="B144" s="480" t="str">
        <f>VLOOKUP(A144,Классификаторы!$A:$B,2,FALSE)</f>
        <v>Прочие затраты</v>
      </c>
      <c r="C144" s="478"/>
      <c r="D144" s="478"/>
      <c r="E144" s="478"/>
      <c r="F144" s="478"/>
      <c r="G144" s="478"/>
      <c r="H144" s="478"/>
      <c r="I144" s="478"/>
      <c r="J144" s="478"/>
      <c r="K144" s="478"/>
      <c r="L144" s="478"/>
      <c r="M144" s="478"/>
      <c r="N144" s="479"/>
      <c r="O144" s="144">
        <f t="shared" si="33"/>
        <v>0</v>
      </c>
    </row>
    <row r="145" spans="1:15" ht="10.5">
      <c r="A145" s="471" t="s">
        <v>12</v>
      </c>
      <c r="B145" s="481" t="str">
        <f>VLOOKUP(A145,Классификаторы!$A:$B,2,FALSE)</f>
        <v>Затраты на ремонт и содержание оборудования</v>
      </c>
      <c r="C145" s="197">
        <f aca="true" t="shared" si="36" ref="C145:N145">SUM(C146,C150)</f>
        <v>0</v>
      </c>
      <c r="D145" s="197">
        <f t="shared" si="36"/>
        <v>0</v>
      </c>
      <c r="E145" s="197">
        <f t="shared" si="36"/>
        <v>0</v>
      </c>
      <c r="F145" s="197">
        <f t="shared" si="36"/>
        <v>0</v>
      </c>
      <c r="G145" s="197">
        <f t="shared" si="36"/>
        <v>0</v>
      </c>
      <c r="H145" s="197">
        <f t="shared" si="36"/>
        <v>0</v>
      </c>
      <c r="I145" s="197">
        <f t="shared" si="36"/>
        <v>0</v>
      </c>
      <c r="J145" s="197">
        <f t="shared" si="36"/>
        <v>0</v>
      </c>
      <c r="K145" s="197">
        <f t="shared" si="36"/>
        <v>0</v>
      </c>
      <c r="L145" s="197">
        <f t="shared" si="36"/>
        <v>0</v>
      </c>
      <c r="M145" s="197">
        <f t="shared" si="36"/>
        <v>0</v>
      </c>
      <c r="N145" s="318">
        <f t="shared" si="36"/>
        <v>0</v>
      </c>
      <c r="O145" s="84">
        <f t="shared" si="33"/>
        <v>0</v>
      </c>
    </row>
    <row r="146" spans="1:15" ht="10.5">
      <c r="A146" s="407" t="s">
        <v>13</v>
      </c>
      <c r="B146" s="475" t="str">
        <f>VLOOKUP(A146,Классификаторы!$A:$B,2,FALSE)</f>
        <v>Содержание и эксплуатация технологического оборудования</v>
      </c>
      <c r="C146" s="112">
        <f aca="true" t="shared" si="37" ref="C146:N146">SUM(C147:C149)</f>
        <v>0</v>
      </c>
      <c r="D146" s="112">
        <f t="shared" si="37"/>
        <v>0</v>
      </c>
      <c r="E146" s="112">
        <f t="shared" si="37"/>
        <v>0</v>
      </c>
      <c r="F146" s="112">
        <f t="shared" si="37"/>
        <v>0</v>
      </c>
      <c r="G146" s="112">
        <f t="shared" si="37"/>
        <v>0</v>
      </c>
      <c r="H146" s="112">
        <f t="shared" si="37"/>
        <v>0</v>
      </c>
      <c r="I146" s="112">
        <f t="shared" si="37"/>
        <v>0</v>
      </c>
      <c r="J146" s="112">
        <f t="shared" si="37"/>
        <v>0</v>
      </c>
      <c r="K146" s="112">
        <f t="shared" si="37"/>
        <v>0</v>
      </c>
      <c r="L146" s="112">
        <f t="shared" si="37"/>
        <v>0</v>
      </c>
      <c r="M146" s="112">
        <f t="shared" si="37"/>
        <v>0</v>
      </c>
      <c r="N146" s="370">
        <f t="shared" si="37"/>
        <v>0</v>
      </c>
      <c r="O146" s="144">
        <f t="shared" si="33"/>
        <v>0</v>
      </c>
    </row>
    <row r="147" spans="1:15" ht="10.5">
      <c r="A147" s="407" t="s">
        <v>123</v>
      </c>
      <c r="B147" s="475" t="str">
        <f>VLOOKUP(A147,Классификаторы!$A:$B,2,FALSE)</f>
        <v>Эксплуатационные материалы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474"/>
      <c r="O147" s="144">
        <f t="shared" si="33"/>
        <v>0</v>
      </c>
    </row>
    <row r="148" spans="1:15" ht="10.5">
      <c r="A148" s="407" t="s">
        <v>124</v>
      </c>
      <c r="B148" s="475" t="str">
        <f>VLOOKUP(A148,Классификаторы!$A:$B,2,FALSE)</f>
        <v>ГСМ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474"/>
      <c r="O148" s="144">
        <f t="shared" si="33"/>
        <v>0</v>
      </c>
    </row>
    <row r="149" spans="1:15" ht="10.5">
      <c r="A149" s="407" t="s">
        <v>125</v>
      </c>
      <c r="B149" s="475" t="str">
        <f>VLOOKUP(A149,Классификаторы!$A:$B,2,FALSE)</f>
        <v>Услуги сторонних организаций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474"/>
      <c r="O149" s="144">
        <f t="shared" si="33"/>
        <v>0</v>
      </c>
    </row>
    <row r="150" spans="1:15" ht="10.5">
      <c r="A150" s="407" t="s">
        <v>14</v>
      </c>
      <c r="B150" s="475" t="str">
        <f>VLOOKUP(A150,Классификаторы!$A:$B,2,FALSE)</f>
        <v>Текущий ремонт технологического оборудования</v>
      </c>
      <c r="C150" s="112">
        <f aca="true" t="shared" si="38" ref="C150:N150">SUM(C151:C153)</f>
        <v>0</v>
      </c>
      <c r="D150" s="112">
        <f t="shared" si="38"/>
        <v>0</v>
      </c>
      <c r="E150" s="112">
        <f t="shared" si="38"/>
        <v>0</v>
      </c>
      <c r="F150" s="112">
        <f t="shared" si="38"/>
        <v>0</v>
      </c>
      <c r="G150" s="112">
        <f t="shared" si="38"/>
        <v>0</v>
      </c>
      <c r="H150" s="112">
        <f t="shared" si="38"/>
        <v>0</v>
      </c>
      <c r="I150" s="112">
        <f t="shared" si="38"/>
        <v>0</v>
      </c>
      <c r="J150" s="112">
        <f t="shared" si="38"/>
        <v>0</v>
      </c>
      <c r="K150" s="112">
        <f t="shared" si="38"/>
        <v>0</v>
      </c>
      <c r="L150" s="112">
        <f t="shared" si="38"/>
        <v>0</v>
      </c>
      <c r="M150" s="112">
        <f t="shared" si="38"/>
        <v>0</v>
      </c>
      <c r="N150" s="370">
        <f t="shared" si="38"/>
        <v>0</v>
      </c>
      <c r="O150" s="144">
        <f t="shared" si="33"/>
        <v>0</v>
      </c>
    </row>
    <row r="151" spans="1:15" ht="10.5">
      <c r="A151" s="407" t="s">
        <v>127</v>
      </c>
      <c r="B151" s="475" t="str">
        <f>VLOOKUP(A151,Классификаторы!$A:$B,2,FALSE)</f>
        <v>Зарплата рабочих РМЦ с отчислениями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474"/>
      <c r="O151" s="144">
        <f t="shared" si="33"/>
        <v>0</v>
      </c>
    </row>
    <row r="152" spans="1:15" ht="10.5">
      <c r="A152" s="407" t="s">
        <v>128</v>
      </c>
      <c r="B152" s="475" t="str">
        <f>VLOOKUP(A152,Классификаторы!$A:$B,2,FALSE)</f>
        <v>Расходные материалы для ремонта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474"/>
      <c r="O152" s="144">
        <f t="shared" si="33"/>
        <v>0</v>
      </c>
    </row>
    <row r="153" spans="1:15" ht="10.5">
      <c r="A153" s="407" t="s">
        <v>129</v>
      </c>
      <c r="B153" s="475" t="str">
        <f>VLOOKUP(A153,Классификаторы!$A:$B,2,FALSE)</f>
        <v>Запасные части для ремонта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474"/>
      <c r="O153" s="144">
        <f t="shared" si="33"/>
        <v>0</v>
      </c>
    </row>
    <row r="154" spans="1:15" ht="10.5">
      <c r="A154" s="476" t="s">
        <v>130</v>
      </c>
      <c r="B154" s="480" t="str">
        <f>VLOOKUP(A154,Классификаторы!$A:$B,2,FALSE)</f>
        <v>Услуги сторонних организаций</v>
      </c>
      <c r="C154" s="499"/>
      <c r="D154" s="499"/>
      <c r="E154" s="499"/>
      <c r="F154" s="499"/>
      <c r="G154" s="499"/>
      <c r="H154" s="499"/>
      <c r="I154" s="499"/>
      <c r="J154" s="499"/>
      <c r="K154" s="499"/>
      <c r="L154" s="499"/>
      <c r="M154" s="499"/>
      <c r="N154" s="500"/>
      <c r="O154" s="140">
        <f t="shared" si="33"/>
        <v>0</v>
      </c>
    </row>
    <row r="155" spans="1:15" ht="10.5">
      <c r="A155" s="423"/>
      <c r="B155" s="483"/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N155" s="484"/>
      <c r="O155" s="133"/>
    </row>
    <row r="156" spans="1:15" ht="10.5">
      <c r="A156" s="496" t="s">
        <v>133</v>
      </c>
      <c r="B156" s="455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320"/>
      <c r="O156" s="133"/>
    </row>
    <row r="157" spans="1:15" ht="10.5">
      <c r="A157" s="488" t="s">
        <v>13</v>
      </c>
      <c r="B157" s="489" t="str">
        <f>VLOOKUP(A157,Классификаторы!$A:$B,2,FALSE)</f>
        <v>Содержание и эксплуатация технологического оборудования</v>
      </c>
      <c r="C157" s="117">
        <f aca="true" t="shared" si="39" ref="C157:N157">C146</f>
        <v>0</v>
      </c>
      <c r="D157" s="117">
        <f t="shared" si="39"/>
        <v>0</v>
      </c>
      <c r="E157" s="117">
        <f t="shared" si="39"/>
        <v>0</v>
      </c>
      <c r="F157" s="117">
        <f t="shared" si="39"/>
        <v>0</v>
      </c>
      <c r="G157" s="117">
        <f t="shared" si="39"/>
        <v>0</v>
      </c>
      <c r="H157" s="117">
        <f t="shared" si="39"/>
        <v>0</v>
      </c>
      <c r="I157" s="117">
        <f t="shared" si="39"/>
        <v>0</v>
      </c>
      <c r="J157" s="117">
        <f t="shared" si="39"/>
        <v>0</v>
      </c>
      <c r="K157" s="117">
        <f t="shared" si="39"/>
        <v>0</v>
      </c>
      <c r="L157" s="117">
        <f t="shared" si="39"/>
        <v>0</v>
      </c>
      <c r="M157" s="117">
        <f t="shared" si="39"/>
        <v>0</v>
      </c>
      <c r="N157" s="319">
        <f t="shared" si="39"/>
        <v>0</v>
      </c>
      <c r="O157" s="194">
        <f aca="true" t="shared" si="40" ref="O157:O166">SUM(C157:N157)</f>
        <v>0</v>
      </c>
    </row>
    <row r="158" spans="1:16" ht="10.5">
      <c r="A158" s="407" t="s">
        <v>26</v>
      </c>
      <c r="B158" s="473" t="str">
        <f>VLOOKUP(A158,Классификаторы!$A:$B,2,FALSE)</f>
        <v>Цех 1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474"/>
      <c r="O158" s="194">
        <f t="shared" si="40"/>
        <v>0</v>
      </c>
      <c r="P158" s="27" t="str">
        <f>CONCATENATE(A157,A158)</f>
        <v>3.1Ц_1</v>
      </c>
    </row>
    <row r="159" spans="1:16" ht="10.5">
      <c r="A159" s="407" t="s">
        <v>27</v>
      </c>
      <c r="B159" s="473" t="str">
        <f>VLOOKUP(A159,Классификаторы!$A:$B,2,FALSE)</f>
        <v>Цех 2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474"/>
      <c r="O159" s="194">
        <f t="shared" si="40"/>
        <v>0</v>
      </c>
      <c r="P159" s="27" t="str">
        <f>CONCATENATE(A157,A159)</f>
        <v>3.1Ц_2</v>
      </c>
    </row>
    <row r="160" spans="1:16" ht="10.5">
      <c r="A160" s="407" t="s">
        <v>28</v>
      </c>
      <c r="B160" s="473" t="str">
        <f>VLOOKUP(A160,Классификаторы!$A:$B,2,FALSE)</f>
        <v>Цех 3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474"/>
      <c r="O160" s="194">
        <f t="shared" si="40"/>
        <v>0</v>
      </c>
      <c r="P160" s="27" t="str">
        <f>CONCATENATE(A157,A160)</f>
        <v>3.1Ц_3</v>
      </c>
    </row>
    <row r="161" spans="1:15" ht="10.5">
      <c r="A161" s="369"/>
      <c r="B161" s="490" t="s">
        <v>134</v>
      </c>
      <c r="C161" s="491">
        <f aca="true" t="shared" si="41" ref="C161:N161">C157-SUM(C158:C160)</f>
        <v>0</v>
      </c>
      <c r="D161" s="491">
        <f t="shared" si="41"/>
        <v>0</v>
      </c>
      <c r="E161" s="491">
        <f t="shared" si="41"/>
        <v>0</v>
      </c>
      <c r="F161" s="491">
        <f t="shared" si="41"/>
        <v>0</v>
      </c>
      <c r="G161" s="491">
        <f t="shared" si="41"/>
        <v>0</v>
      </c>
      <c r="H161" s="491">
        <f t="shared" si="41"/>
        <v>0</v>
      </c>
      <c r="I161" s="491">
        <f t="shared" si="41"/>
        <v>0</v>
      </c>
      <c r="J161" s="491">
        <f t="shared" si="41"/>
        <v>0</v>
      </c>
      <c r="K161" s="491">
        <f t="shared" si="41"/>
        <v>0</v>
      </c>
      <c r="L161" s="491">
        <f t="shared" si="41"/>
        <v>0</v>
      </c>
      <c r="M161" s="491">
        <f t="shared" si="41"/>
        <v>0</v>
      </c>
      <c r="N161" s="492">
        <f t="shared" si="41"/>
        <v>0</v>
      </c>
      <c r="O161" s="495">
        <f t="shared" si="40"/>
        <v>0</v>
      </c>
    </row>
    <row r="162" spans="1:15" ht="10.5">
      <c r="A162" s="488" t="s">
        <v>14</v>
      </c>
      <c r="B162" s="489" t="str">
        <f>VLOOKUP(A162,Классификаторы!$A:$B,2,FALSE)</f>
        <v>Текущий ремонт технологического оборудования</v>
      </c>
      <c r="C162" s="117">
        <f aca="true" t="shared" si="42" ref="C162:N162">C150</f>
        <v>0</v>
      </c>
      <c r="D162" s="117">
        <f t="shared" si="42"/>
        <v>0</v>
      </c>
      <c r="E162" s="117">
        <f t="shared" si="42"/>
        <v>0</v>
      </c>
      <c r="F162" s="117">
        <f t="shared" si="42"/>
        <v>0</v>
      </c>
      <c r="G162" s="117">
        <f t="shared" si="42"/>
        <v>0</v>
      </c>
      <c r="H162" s="117">
        <f t="shared" si="42"/>
        <v>0</v>
      </c>
      <c r="I162" s="117">
        <f t="shared" si="42"/>
        <v>0</v>
      </c>
      <c r="J162" s="117">
        <f t="shared" si="42"/>
        <v>0</v>
      </c>
      <c r="K162" s="117">
        <f t="shared" si="42"/>
        <v>0</v>
      </c>
      <c r="L162" s="117">
        <f t="shared" si="42"/>
        <v>0</v>
      </c>
      <c r="M162" s="117">
        <f t="shared" si="42"/>
        <v>0</v>
      </c>
      <c r="N162" s="319">
        <f t="shared" si="42"/>
        <v>0</v>
      </c>
      <c r="O162" s="194">
        <f t="shared" si="40"/>
        <v>0</v>
      </c>
    </row>
    <row r="163" spans="1:16" ht="10.5">
      <c r="A163" s="407" t="s">
        <v>26</v>
      </c>
      <c r="B163" s="473" t="str">
        <f>VLOOKUP(A163,Классификаторы!$A:$B,2,FALSE)</f>
        <v>Цех 1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474"/>
      <c r="O163" s="194">
        <f t="shared" si="40"/>
        <v>0</v>
      </c>
      <c r="P163" s="27" t="str">
        <f>CONCATENATE(A162,A163)</f>
        <v>3.2Ц_1</v>
      </c>
    </row>
    <row r="164" spans="1:16" ht="10.5">
      <c r="A164" s="407" t="s">
        <v>27</v>
      </c>
      <c r="B164" s="473" t="str">
        <f>VLOOKUP(A164,Классификаторы!$A:$B,2,FALSE)</f>
        <v>Цех 2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474"/>
      <c r="O164" s="194">
        <f t="shared" si="40"/>
        <v>0</v>
      </c>
      <c r="P164" s="27" t="str">
        <f>CONCATENATE(A162,A164)</f>
        <v>3.2Ц_2</v>
      </c>
    </row>
    <row r="165" spans="1:16" ht="10.5">
      <c r="A165" s="407" t="s">
        <v>28</v>
      </c>
      <c r="B165" s="473" t="str">
        <f>VLOOKUP(A165,Классификаторы!$A:$B,2,FALSE)</f>
        <v>Цех 3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474"/>
      <c r="O165" s="194">
        <f t="shared" si="40"/>
        <v>0</v>
      </c>
      <c r="P165" s="27" t="str">
        <f>CONCATENATE(A162,A165)</f>
        <v>3.2Ц_3</v>
      </c>
    </row>
    <row r="166" spans="1:15" ht="10.5">
      <c r="A166" s="493"/>
      <c r="B166" s="494" t="s">
        <v>134</v>
      </c>
      <c r="C166" s="485">
        <f aca="true" t="shared" si="43" ref="C166:N166">C162-SUM(C163:C165)</f>
        <v>0</v>
      </c>
      <c r="D166" s="485">
        <f t="shared" si="43"/>
        <v>0</v>
      </c>
      <c r="E166" s="485">
        <f t="shared" si="43"/>
        <v>0</v>
      </c>
      <c r="F166" s="485">
        <f t="shared" si="43"/>
        <v>0</v>
      </c>
      <c r="G166" s="485">
        <f t="shared" si="43"/>
        <v>0</v>
      </c>
      <c r="H166" s="485">
        <f t="shared" si="43"/>
        <v>0</v>
      </c>
      <c r="I166" s="485">
        <f t="shared" si="43"/>
        <v>0</v>
      </c>
      <c r="J166" s="485">
        <f t="shared" si="43"/>
        <v>0</v>
      </c>
      <c r="K166" s="485">
        <f t="shared" si="43"/>
        <v>0</v>
      </c>
      <c r="L166" s="485">
        <f t="shared" si="43"/>
        <v>0</v>
      </c>
      <c r="M166" s="485">
        <f t="shared" si="43"/>
        <v>0</v>
      </c>
      <c r="N166" s="486">
        <f t="shared" si="43"/>
        <v>0</v>
      </c>
      <c r="O166" s="482">
        <f t="shared" si="40"/>
        <v>0</v>
      </c>
    </row>
    <row r="167" spans="1:15" ht="10.5">
      <c r="A167" s="110"/>
      <c r="B167" s="198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</row>
    <row r="168" ht="10.5">
      <c r="A168" s="45"/>
    </row>
    <row r="169" spans="2:15" ht="13.5" thickBot="1">
      <c r="B169" s="468" t="s">
        <v>51</v>
      </c>
      <c r="C169" s="469" t="str">
        <f>VLOOKUP(B169,Классификаторы!$A:$B,2,FALSE)</f>
        <v>Цех 5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79"/>
    </row>
    <row r="170" spans="1:15" ht="10.5">
      <c r="A170" s="80" t="s">
        <v>0</v>
      </c>
      <c r="B170" s="55" t="s">
        <v>132</v>
      </c>
      <c r="C170" s="56">
        <v>39448</v>
      </c>
      <c r="D170" s="56">
        <v>39479</v>
      </c>
      <c r="E170" s="56">
        <v>39508</v>
      </c>
      <c r="F170" s="56">
        <v>39539</v>
      </c>
      <c r="G170" s="56">
        <v>39569</v>
      </c>
      <c r="H170" s="56">
        <v>39600</v>
      </c>
      <c r="I170" s="56">
        <v>39630</v>
      </c>
      <c r="J170" s="56">
        <v>39661</v>
      </c>
      <c r="K170" s="56">
        <v>39692</v>
      </c>
      <c r="L170" s="56">
        <v>39722</v>
      </c>
      <c r="M170" s="56">
        <v>39753</v>
      </c>
      <c r="N170" s="56">
        <v>39783</v>
      </c>
      <c r="O170" s="340" t="s">
        <v>67</v>
      </c>
    </row>
    <row r="171" spans="1:16" ht="10.5">
      <c r="A171" s="471" t="s">
        <v>7</v>
      </c>
      <c r="B171" s="481" t="str">
        <f>VLOOKUP(A171,Классификаторы!$A:$B,2,FALSE)</f>
        <v>Цеховые затраты</v>
      </c>
      <c r="C171" s="197">
        <f aca="true" t="shared" si="44" ref="C171:N171">SUM(C172:C177,C183,C185)</f>
        <v>0</v>
      </c>
      <c r="D171" s="197">
        <f t="shared" si="44"/>
        <v>0</v>
      </c>
      <c r="E171" s="197">
        <f t="shared" si="44"/>
        <v>0</v>
      </c>
      <c r="F171" s="197">
        <f t="shared" si="44"/>
        <v>0</v>
      </c>
      <c r="G171" s="197">
        <f t="shared" si="44"/>
        <v>0</v>
      </c>
      <c r="H171" s="197">
        <f t="shared" si="44"/>
        <v>0</v>
      </c>
      <c r="I171" s="197">
        <f t="shared" si="44"/>
        <v>0</v>
      </c>
      <c r="J171" s="197">
        <f t="shared" si="44"/>
        <v>0</v>
      </c>
      <c r="K171" s="197">
        <f t="shared" si="44"/>
        <v>0</v>
      </c>
      <c r="L171" s="197">
        <f t="shared" si="44"/>
        <v>0</v>
      </c>
      <c r="M171" s="197">
        <f t="shared" si="44"/>
        <v>0</v>
      </c>
      <c r="N171" s="318">
        <f t="shared" si="44"/>
        <v>0</v>
      </c>
      <c r="O171" s="84">
        <f aca="true" t="shared" si="45" ref="O171:O195">SUM(C171:N171)</f>
        <v>0</v>
      </c>
      <c r="P171" s="34"/>
    </row>
    <row r="172" spans="1:15" ht="10.5">
      <c r="A172" s="407" t="s">
        <v>8</v>
      </c>
      <c r="B172" s="475" t="str">
        <f>VLOOKUP(A172,Классификаторы!$A:$B,2,FALSE)</f>
        <v>Амортизация зданий и сооружений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474"/>
      <c r="O172" s="144">
        <f t="shared" si="45"/>
        <v>0</v>
      </c>
    </row>
    <row r="173" spans="1:15" ht="10.5">
      <c r="A173" s="407" t="s">
        <v>9</v>
      </c>
      <c r="B173" s="475" t="str">
        <f>VLOOKUP(A173,Классификаторы!$A:$B,2,FALSE)</f>
        <v>Амортизация технологического оборудования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474"/>
      <c r="O173" s="144">
        <f t="shared" si="45"/>
        <v>0</v>
      </c>
    </row>
    <row r="174" spans="1:15" ht="10.5">
      <c r="A174" s="407" t="s">
        <v>10</v>
      </c>
      <c r="B174" s="475" t="str">
        <f>VLOOKUP(A174,Классификаторы!$A:$B,2,FALSE)</f>
        <v>Затраты на охрану труда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474"/>
      <c r="O174" s="144">
        <f t="shared" si="45"/>
        <v>0</v>
      </c>
    </row>
    <row r="175" spans="1:15" ht="10.5">
      <c r="A175" s="407" t="s">
        <v>11</v>
      </c>
      <c r="B175" s="475" t="str">
        <f>VLOOKUP(A175,Классификаторы!$A:$B,2,FALSE)</f>
        <v>Зарплата управления цехов с отчислениями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474"/>
      <c r="O175" s="144">
        <f t="shared" si="45"/>
        <v>0</v>
      </c>
    </row>
    <row r="176" spans="1:15" ht="10.5">
      <c r="A176" s="407" t="s">
        <v>38</v>
      </c>
      <c r="B176" s="475" t="str">
        <f>VLOOKUP(A176,Классификаторы!$A:$B,2,FALSE)</f>
        <v>Прочая зарплата с отчислениями в составе цеховых затрат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474"/>
      <c r="O176" s="144">
        <f t="shared" si="45"/>
        <v>0</v>
      </c>
    </row>
    <row r="177" spans="1:15" ht="10.5">
      <c r="A177" s="407" t="s">
        <v>39</v>
      </c>
      <c r="B177" s="475" t="str">
        <f>VLOOKUP(A177,Классификаторы!$A:$B,2,FALSE)</f>
        <v>Затраты на содержание зданий и сооружений</v>
      </c>
      <c r="C177" s="112">
        <f aca="true" t="shared" si="46" ref="C177:N177">SUM(C178:C182)</f>
        <v>0</v>
      </c>
      <c r="D177" s="112">
        <f t="shared" si="46"/>
        <v>0</v>
      </c>
      <c r="E177" s="112">
        <f t="shared" si="46"/>
        <v>0</v>
      </c>
      <c r="F177" s="112">
        <f t="shared" si="46"/>
        <v>0</v>
      </c>
      <c r="G177" s="112">
        <f t="shared" si="46"/>
        <v>0</v>
      </c>
      <c r="H177" s="112">
        <f t="shared" si="46"/>
        <v>0</v>
      </c>
      <c r="I177" s="112">
        <f t="shared" si="46"/>
        <v>0</v>
      </c>
      <c r="J177" s="112">
        <f t="shared" si="46"/>
        <v>0</v>
      </c>
      <c r="K177" s="112">
        <f t="shared" si="46"/>
        <v>0</v>
      </c>
      <c r="L177" s="112">
        <f t="shared" si="46"/>
        <v>0</v>
      </c>
      <c r="M177" s="112">
        <f t="shared" si="46"/>
        <v>0</v>
      </c>
      <c r="N177" s="370">
        <f t="shared" si="46"/>
        <v>0</v>
      </c>
      <c r="O177" s="144">
        <f t="shared" si="45"/>
        <v>0</v>
      </c>
    </row>
    <row r="178" spans="1:15" ht="10.5">
      <c r="A178" s="407" t="s">
        <v>106</v>
      </c>
      <c r="B178" s="475" t="str">
        <f>VLOOKUP(A178,Классификаторы!$A:$B,2,FALSE)</f>
        <v>Зарплата вспомогательных рабочих с отчислениями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474"/>
      <c r="O178" s="144">
        <f t="shared" si="45"/>
        <v>0</v>
      </c>
    </row>
    <row r="179" spans="1:15" ht="10.5">
      <c r="A179" s="407" t="s">
        <v>107</v>
      </c>
      <c r="B179" s="475" t="str">
        <f>VLOOKUP(A179,Классификаторы!$A:$B,2,FALSE)</f>
        <v>Вода техническая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474"/>
      <c r="O179" s="144">
        <f t="shared" si="45"/>
        <v>0</v>
      </c>
    </row>
    <row r="180" spans="1:15" ht="10.5">
      <c r="A180" s="407" t="s">
        <v>108</v>
      </c>
      <c r="B180" s="475" t="str">
        <f>VLOOKUP(A180,Классификаторы!$A:$B,2,FALSE)</f>
        <v>ТЭР в составе цеховых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474"/>
      <c r="O180" s="144">
        <f t="shared" si="45"/>
        <v>0</v>
      </c>
    </row>
    <row r="181" spans="1:15" ht="10.5">
      <c r="A181" s="407" t="s">
        <v>109</v>
      </c>
      <c r="B181" s="475" t="str">
        <f>VLOOKUP(A181,Классификаторы!$A:$B,2,FALSE)</f>
        <v>Теплоэнергия в составе цеховых затрат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474"/>
      <c r="O181" s="144">
        <f t="shared" si="45"/>
        <v>0</v>
      </c>
    </row>
    <row r="182" spans="1:15" ht="10.5">
      <c r="A182" s="407" t="s">
        <v>110</v>
      </c>
      <c r="B182" s="475" t="str">
        <f>VLOOKUP(A182,Классификаторы!$A:$B,2,FALSE)</f>
        <v>Услуги сторонних организаций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474"/>
      <c r="O182" s="144">
        <f t="shared" si="45"/>
        <v>0</v>
      </c>
    </row>
    <row r="183" spans="1:15" ht="10.5">
      <c r="A183" s="407" t="s">
        <v>40</v>
      </c>
      <c r="B183" s="475" t="str">
        <f>VLOOKUP(A183,Классификаторы!$A:$B,2,FALSE)</f>
        <v>Текущий ремонт зданий и сооружений</v>
      </c>
      <c r="C183" s="112">
        <f aca="true" t="shared" si="47" ref="C183:N183">SUM(C184)</f>
        <v>0</v>
      </c>
      <c r="D183" s="112">
        <f t="shared" si="47"/>
        <v>0</v>
      </c>
      <c r="E183" s="112">
        <f t="shared" si="47"/>
        <v>0</v>
      </c>
      <c r="F183" s="112">
        <f t="shared" si="47"/>
        <v>0</v>
      </c>
      <c r="G183" s="112">
        <f t="shared" si="47"/>
        <v>0</v>
      </c>
      <c r="H183" s="112">
        <f t="shared" si="47"/>
        <v>0</v>
      </c>
      <c r="I183" s="112">
        <f t="shared" si="47"/>
        <v>0</v>
      </c>
      <c r="J183" s="112">
        <f t="shared" si="47"/>
        <v>0</v>
      </c>
      <c r="K183" s="112">
        <f t="shared" si="47"/>
        <v>0</v>
      </c>
      <c r="L183" s="112">
        <f t="shared" si="47"/>
        <v>0</v>
      </c>
      <c r="M183" s="112">
        <f t="shared" si="47"/>
        <v>0</v>
      </c>
      <c r="N183" s="370">
        <f t="shared" si="47"/>
        <v>0</v>
      </c>
      <c r="O183" s="144">
        <f t="shared" si="45"/>
        <v>0</v>
      </c>
    </row>
    <row r="184" spans="1:15" ht="10.5">
      <c r="A184" s="407" t="s">
        <v>112</v>
      </c>
      <c r="B184" s="475" t="str">
        <f>VLOOKUP(A184,Классификаторы!$A:$B,2,FALSE)</f>
        <v>Услуги сторонних организаций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474"/>
      <c r="O184" s="144">
        <f t="shared" si="45"/>
        <v>0</v>
      </c>
    </row>
    <row r="185" spans="1:15" ht="10.5">
      <c r="A185" s="476" t="s">
        <v>41</v>
      </c>
      <c r="B185" s="480" t="str">
        <f>VLOOKUP(A185,Классификаторы!$A:$B,2,FALSE)</f>
        <v>Прочие затраты</v>
      </c>
      <c r="C185" s="478"/>
      <c r="D185" s="478"/>
      <c r="E185" s="478"/>
      <c r="F185" s="478"/>
      <c r="G185" s="478"/>
      <c r="H185" s="478"/>
      <c r="I185" s="478"/>
      <c r="J185" s="478"/>
      <c r="K185" s="478"/>
      <c r="L185" s="478"/>
      <c r="M185" s="478"/>
      <c r="N185" s="479"/>
      <c r="O185" s="144">
        <f t="shared" si="45"/>
        <v>0</v>
      </c>
    </row>
    <row r="186" spans="1:15" ht="10.5">
      <c r="A186" s="471" t="s">
        <v>12</v>
      </c>
      <c r="B186" s="481" t="str">
        <f>VLOOKUP(A186,Классификаторы!$A:$B,2,FALSE)</f>
        <v>Затраты на ремонт и содержание оборудования</v>
      </c>
      <c r="C186" s="197">
        <f aca="true" t="shared" si="48" ref="C186:N186">SUM(C187,C191)</f>
        <v>0</v>
      </c>
      <c r="D186" s="197">
        <f t="shared" si="48"/>
        <v>0</v>
      </c>
      <c r="E186" s="197">
        <f t="shared" si="48"/>
        <v>0</v>
      </c>
      <c r="F186" s="197">
        <f t="shared" si="48"/>
        <v>0</v>
      </c>
      <c r="G186" s="197">
        <f t="shared" si="48"/>
        <v>0</v>
      </c>
      <c r="H186" s="197">
        <f t="shared" si="48"/>
        <v>0</v>
      </c>
      <c r="I186" s="197">
        <f t="shared" si="48"/>
        <v>0</v>
      </c>
      <c r="J186" s="197">
        <f t="shared" si="48"/>
        <v>0</v>
      </c>
      <c r="K186" s="197">
        <f t="shared" si="48"/>
        <v>0</v>
      </c>
      <c r="L186" s="197">
        <f t="shared" si="48"/>
        <v>0</v>
      </c>
      <c r="M186" s="197">
        <f t="shared" si="48"/>
        <v>0</v>
      </c>
      <c r="N186" s="318">
        <f t="shared" si="48"/>
        <v>0</v>
      </c>
      <c r="O186" s="84">
        <f t="shared" si="45"/>
        <v>0</v>
      </c>
    </row>
    <row r="187" spans="1:15" ht="10.5">
      <c r="A187" s="407" t="s">
        <v>13</v>
      </c>
      <c r="B187" s="475" t="str">
        <f>VLOOKUP(A187,Классификаторы!$A:$B,2,FALSE)</f>
        <v>Содержание и эксплуатация технологического оборудования</v>
      </c>
      <c r="C187" s="112">
        <f aca="true" t="shared" si="49" ref="C187:N187">SUM(C188:C190)</f>
        <v>0</v>
      </c>
      <c r="D187" s="112">
        <f t="shared" si="49"/>
        <v>0</v>
      </c>
      <c r="E187" s="112">
        <f t="shared" si="49"/>
        <v>0</v>
      </c>
      <c r="F187" s="112">
        <f t="shared" si="49"/>
        <v>0</v>
      </c>
      <c r="G187" s="112">
        <f t="shared" si="49"/>
        <v>0</v>
      </c>
      <c r="H187" s="112">
        <f t="shared" si="49"/>
        <v>0</v>
      </c>
      <c r="I187" s="112">
        <f t="shared" si="49"/>
        <v>0</v>
      </c>
      <c r="J187" s="112">
        <f t="shared" si="49"/>
        <v>0</v>
      </c>
      <c r="K187" s="112">
        <f t="shared" si="49"/>
        <v>0</v>
      </c>
      <c r="L187" s="112">
        <f t="shared" si="49"/>
        <v>0</v>
      </c>
      <c r="M187" s="112">
        <f t="shared" si="49"/>
        <v>0</v>
      </c>
      <c r="N187" s="370">
        <f t="shared" si="49"/>
        <v>0</v>
      </c>
      <c r="O187" s="144">
        <f t="shared" si="45"/>
        <v>0</v>
      </c>
    </row>
    <row r="188" spans="1:15" ht="10.5">
      <c r="A188" s="407" t="s">
        <v>123</v>
      </c>
      <c r="B188" s="475" t="str">
        <f>VLOOKUP(A188,Классификаторы!$A:$B,2,FALSE)</f>
        <v>Эксплуатационные материалы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474"/>
      <c r="O188" s="144">
        <f t="shared" si="45"/>
        <v>0</v>
      </c>
    </row>
    <row r="189" spans="1:15" ht="10.5">
      <c r="A189" s="407" t="s">
        <v>124</v>
      </c>
      <c r="B189" s="475" t="str">
        <f>VLOOKUP(A189,Классификаторы!$A:$B,2,FALSE)</f>
        <v>ГСМ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474"/>
      <c r="O189" s="144">
        <f t="shared" si="45"/>
        <v>0</v>
      </c>
    </row>
    <row r="190" spans="1:15" ht="10.5">
      <c r="A190" s="407" t="s">
        <v>125</v>
      </c>
      <c r="B190" s="475" t="str">
        <f>VLOOKUP(A190,Классификаторы!$A:$B,2,FALSE)</f>
        <v>Услуги сторонних организаций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474"/>
      <c r="O190" s="144">
        <f t="shared" si="45"/>
        <v>0</v>
      </c>
    </row>
    <row r="191" spans="1:15" ht="10.5">
      <c r="A191" s="407" t="s">
        <v>14</v>
      </c>
      <c r="B191" s="475" t="str">
        <f>VLOOKUP(A191,Классификаторы!$A:$B,2,FALSE)</f>
        <v>Текущий ремонт технологического оборудования</v>
      </c>
      <c r="C191" s="112">
        <f aca="true" t="shared" si="50" ref="C191:N191">SUM(C192:C194)</f>
        <v>0</v>
      </c>
      <c r="D191" s="112">
        <f t="shared" si="50"/>
        <v>0</v>
      </c>
      <c r="E191" s="112">
        <f t="shared" si="50"/>
        <v>0</v>
      </c>
      <c r="F191" s="112">
        <f t="shared" si="50"/>
        <v>0</v>
      </c>
      <c r="G191" s="112">
        <f t="shared" si="50"/>
        <v>0</v>
      </c>
      <c r="H191" s="112">
        <f t="shared" si="50"/>
        <v>0</v>
      </c>
      <c r="I191" s="112">
        <f t="shared" si="50"/>
        <v>0</v>
      </c>
      <c r="J191" s="112">
        <f t="shared" si="50"/>
        <v>0</v>
      </c>
      <c r="K191" s="112">
        <f t="shared" si="50"/>
        <v>0</v>
      </c>
      <c r="L191" s="112">
        <f t="shared" si="50"/>
        <v>0</v>
      </c>
      <c r="M191" s="112">
        <f t="shared" si="50"/>
        <v>0</v>
      </c>
      <c r="N191" s="370">
        <f t="shared" si="50"/>
        <v>0</v>
      </c>
      <c r="O191" s="144">
        <f t="shared" si="45"/>
        <v>0</v>
      </c>
    </row>
    <row r="192" spans="1:15" ht="10.5">
      <c r="A192" s="407" t="s">
        <v>127</v>
      </c>
      <c r="B192" s="475" t="str">
        <f>VLOOKUP(A192,Классификаторы!$A:$B,2,FALSE)</f>
        <v>Зарплата рабочих РМЦ с отчислениями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474"/>
      <c r="O192" s="144">
        <f t="shared" si="45"/>
        <v>0</v>
      </c>
    </row>
    <row r="193" spans="1:15" ht="10.5">
      <c r="A193" s="407" t="s">
        <v>128</v>
      </c>
      <c r="B193" s="475" t="str">
        <f>VLOOKUP(A193,Классификаторы!$A:$B,2,FALSE)</f>
        <v>Расходные материалы для ремонта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474"/>
      <c r="O193" s="144">
        <f t="shared" si="45"/>
        <v>0</v>
      </c>
    </row>
    <row r="194" spans="1:15" ht="10.5">
      <c r="A194" s="407" t="s">
        <v>129</v>
      </c>
      <c r="B194" s="475" t="str">
        <f>VLOOKUP(A194,Классификаторы!$A:$B,2,FALSE)</f>
        <v>Запасные части для ремонта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474"/>
      <c r="O194" s="144">
        <f t="shared" si="45"/>
        <v>0</v>
      </c>
    </row>
    <row r="195" spans="1:15" ht="10.5">
      <c r="A195" s="497" t="s">
        <v>130</v>
      </c>
      <c r="B195" s="498" t="str">
        <f>VLOOKUP(A195,Классификаторы!$A:$B,2,FALSE)</f>
        <v>Услуги сторонних организаций</v>
      </c>
      <c r="C195" s="499"/>
      <c r="D195" s="499"/>
      <c r="E195" s="499"/>
      <c r="F195" s="499"/>
      <c r="G195" s="499"/>
      <c r="H195" s="499"/>
      <c r="I195" s="499"/>
      <c r="J195" s="499"/>
      <c r="K195" s="499"/>
      <c r="L195" s="499"/>
      <c r="M195" s="499"/>
      <c r="N195" s="500"/>
      <c r="O195" s="144">
        <f t="shared" si="45"/>
        <v>0</v>
      </c>
    </row>
    <row r="196" spans="1:15" ht="10.5">
      <c r="A196" s="487"/>
      <c r="B196" s="483"/>
      <c r="C196" s="399"/>
      <c r="D196" s="399"/>
      <c r="E196" s="399"/>
      <c r="F196" s="399"/>
      <c r="G196" s="399"/>
      <c r="H196" s="399"/>
      <c r="I196" s="399"/>
      <c r="J196" s="399"/>
      <c r="K196" s="399"/>
      <c r="L196" s="399"/>
      <c r="M196" s="399"/>
      <c r="N196" s="399"/>
      <c r="O196" s="92"/>
    </row>
    <row r="197" spans="1:15" ht="10.5">
      <c r="A197" s="502" t="s">
        <v>133</v>
      </c>
      <c r="B197" s="455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133"/>
    </row>
    <row r="198" spans="1:15" ht="10.5">
      <c r="A198" s="488" t="s">
        <v>13</v>
      </c>
      <c r="B198" s="489" t="str">
        <f>VLOOKUP(A198,Классификаторы!$A:$B,2,FALSE)</f>
        <v>Содержание и эксплуатация технологического оборудования</v>
      </c>
      <c r="C198" s="117">
        <f aca="true" t="shared" si="51" ref="C198:N198">C187</f>
        <v>0</v>
      </c>
      <c r="D198" s="117">
        <f t="shared" si="51"/>
        <v>0</v>
      </c>
      <c r="E198" s="117">
        <f t="shared" si="51"/>
        <v>0</v>
      </c>
      <c r="F198" s="117">
        <f t="shared" si="51"/>
        <v>0</v>
      </c>
      <c r="G198" s="117">
        <f t="shared" si="51"/>
        <v>0</v>
      </c>
      <c r="H198" s="117">
        <f t="shared" si="51"/>
        <v>0</v>
      </c>
      <c r="I198" s="117">
        <f t="shared" si="51"/>
        <v>0</v>
      </c>
      <c r="J198" s="117">
        <f t="shared" si="51"/>
        <v>0</v>
      </c>
      <c r="K198" s="117">
        <f t="shared" si="51"/>
        <v>0</v>
      </c>
      <c r="L198" s="117">
        <f t="shared" si="51"/>
        <v>0</v>
      </c>
      <c r="M198" s="117">
        <f t="shared" si="51"/>
        <v>0</v>
      </c>
      <c r="N198" s="117">
        <f t="shared" si="51"/>
        <v>0</v>
      </c>
      <c r="O198" s="194">
        <f aca="true" t="shared" si="52" ref="O198:O207">SUM(C198:N198)</f>
        <v>0</v>
      </c>
    </row>
    <row r="199" spans="1:16" ht="10.5">
      <c r="A199" s="407" t="s">
        <v>26</v>
      </c>
      <c r="B199" s="473" t="str">
        <f>VLOOKUP(A199,Классификаторы!$A:$B,2,FALSE)</f>
        <v>Цех 1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94">
        <f t="shared" si="52"/>
        <v>0</v>
      </c>
      <c r="P199" s="27" t="str">
        <f>CONCATENATE(A198,A199)</f>
        <v>3.1Ц_1</v>
      </c>
    </row>
    <row r="200" spans="1:16" ht="10.5">
      <c r="A200" s="407" t="s">
        <v>27</v>
      </c>
      <c r="B200" s="473" t="str">
        <f>VLOOKUP(A200,Классификаторы!$A:$B,2,FALSE)</f>
        <v>Цех 2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94">
        <f t="shared" si="52"/>
        <v>0</v>
      </c>
      <c r="P200" s="27" t="str">
        <f>CONCATENATE(A198,A200)</f>
        <v>3.1Ц_2</v>
      </c>
    </row>
    <row r="201" spans="1:16" ht="10.5">
      <c r="A201" s="407" t="s">
        <v>28</v>
      </c>
      <c r="B201" s="473" t="str">
        <f>VLOOKUP(A201,Классификаторы!$A:$B,2,FALSE)</f>
        <v>Цех 3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94">
        <f t="shared" si="52"/>
        <v>0</v>
      </c>
      <c r="P201" s="27" t="str">
        <f>CONCATENATE(A198,A201)</f>
        <v>3.1Ц_3</v>
      </c>
    </row>
    <row r="202" spans="1:15" ht="10.5">
      <c r="A202" s="369"/>
      <c r="B202" s="490" t="s">
        <v>134</v>
      </c>
      <c r="C202" s="491">
        <f aca="true" t="shared" si="53" ref="C202:N202">C198-SUM(C199:C201)</f>
        <v>0</v>
      </c>
      <c r="D202" s="491">
        <f t="shared" si="53"/>
        <v>0</v>
      </c>
      <c r="E202" s="491">
        <f t="shared" si="53"/>
        <v>0</v>
      </c>
      <c r="F202" s="491">
        <f t="shared" si="53"/>
        <v>0</v>
      </c>
      <c r="G202" s="491">
        <f t="shared" si="53"/>
        <v>0</v>
      </c>
      <c r="H202" s="491">
        <f t="shared" si="53"/>
        <v>0</v>
      </c>
      <c r="I202" s="491">
        <f t="shared" si="53"/>
        <v>0</v>
      </c>
      <c r="J202" s="491">
        <f t="shared" si="53"/>
        <v>0</v>
      </c>
      <c r="K202" s="491">
        <f t="shared" si="53"/>
        <v>0</v>
      </c>
      <c r="L202" s="491">
        <f t="shared" si="53"/>
        <v>0</v>
      </c>
      <c r="M202" s="491">
        <f t="shared" si="53"/>
        <v>0</v>
      </c>
      <c r="N202" s="491">
        <f t="shared" si="53"/>
        <v>0</v>
      </c>
      <c r="O202" s="495">
        <f t="shared" si="52"/>
        <v>0</v>
      </c>
    </row>
    <row r="203" spans="1:15" ht="10.5">
      <c r="A203" s="488" t="s">
        <v>14</v>
      </c>
      <c r="B203" s="489" t="str">
        <f>VLOOKUP(A203,Классификаторы!$A:$B,2,FALSE)</f>
        <v>Текущий ремонт технологического оборудования</v>
      </c>
      <c r="C203" s="117">
        <f aca="true" t="shared" si="54" ref="C203:N203">C191</f>
        <v>0</v>
      </c>
      <c r="D203" s="117">
        <f t="shared" si="54"/>
        <v>0</v>
      </c>
      <c r="E203" s="117">
        <f t="shared" si="54"/>
        <v>0</v>
      </c>
      <c r="F203" s="117">
        <f t="shared" si="54"/>
        <v>0</v>
      </c>
      <c r="G203" s="117">
        <f t="shared" si="54"/>
        <v>0</v>
      </c>
      <c r="H203" s="117">
        <f t="shared" si="54"/>
        <v>0</v>
      </c>
      <c r="I203" s="117">
        <f t="shared" si="54"/>
        <v>0</v>
      </c>
      <c r="J203" s="117">
        <f t="shared" si="54"/>
        <v>0</v>
      </c>
      <c r="K203" s="117">
        <f t="shared" si="54"/>
        <v>0</v>
      </c>
      <c r="L203" s="117">
        <f t="shared" si="54"/>
        <v>0</v>
      </c>
      <c r="M203" s="117">
        <f t="shared" si="54"/>
        <v>0</v>
      </c>
      <c r="N203" s="117">
        <f t="shared" si="54"/>
        <v>0</v>
      </c>
      <c r="O203" s="194">
        <f t="shared" si="52"/>
        <v>0</v>
      </c>
    </row>
    <row r="204" spans="1:16" ht="10.5">
      <c r="A204" s="407" t="s">
        <v>26</v>
      </c>
      <c r="B204" s="473" t="str">
        <f>VLOOKUP(A204,Классификаторы!$A:$B,2,FALSE)</f>
        <v>Цех 1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94">
        <f t="shared" si="52"/>
        <v>0</v>
      </c>
      <c r="P204" s="27" t="str">
        <f>CONCATENATE(A203,A204)</f>
        <v>3.2Ц_1</v>
      </c>
    </row>
    <row r="205" spans="1:16" ht="10.5">
      <c r="A205" s="407" t="s">
        <v>27</v>
      </c>
      <c r="B205" s="473" t="str">
        <f>VLOOKUP(A205,Классификаторы!$A:$B,2,FALSE)</f>
        <v>Цех 2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94">
        <f t="shared" si="52"/>
        <v>0</v>
      </c>
      <c r="P205" s="27" t="str">
        <f>CONCATENATE(A203,A205)</f>
        <v>3.2Ц_2</v>
      </c>
    </row>
    <row r="206" spans="1:16" ht="10.5">
      <c r="A206" s="407" t="s">
        <v>28</v>
      </c>
      <c r="B206" s="473" t="str">
        <f>VLOOKUP(A206,Классификаторы!$A:$B,2,FALSE)</f>
        <v>Цех 3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94">
        <f t="shared" si="52"/>
        <v>0</v>
      </c>
      <c r="P206" s="27" t="str">
        <f>CONCATENATE(A203,A206)</f>
        <v>3.2Ц_3</v>
      </c>
    </row>
    <row r="207" spans="1:15" ht="10.5">
      <c r="A207" s="493"/>
      <c r="B207" s="504" t="s">
        <v>134</v>
      </c>
      <c r="C207" s="485">
        <f aca="true" t="shared" si="55" ref="C207:N207">C203-SUM(C204:C206)</f>
        <v>0</v>
      </c>
      <c r="D207" s="485">
        <f t="shared" si="55"/>
        <v>0</v>
      </c>
      <c r="E207" s="485">
        <f t="shared" si="55"/>
        <v>0</v>
      </c>
      <c r="F207" s="485">
        <f t="shared" si="55"/>
        <v>0</v>
      </c>
      <c r="G207" s="485">
        <f t="shared" si="55"/>
        <v>0</v>
      </c>
      <c r="H207" s="485">
        <f t="shared" si="55"/>
        <v>0</v>
      </c>
      <c r="I207" s="485">
        <f t="shared" si="55"/>
        <v>0</v>
      </c>
      <c r="J207" s="485">
        <f t="shared" si="55"/>
        <v>0</v>
      </c>
      <c r="K207" s="485">
        <f t="shared" si="55"/>
        <v>0</v>
      </c>
      <c r="L207" s="485">
        <f t="shared" si="55"/>
        <v>0</v>
      </c>
      <c r="M207" s="485">
        <f t="shared" si="55"/>
        <v>0</v>
      </c>
      <c r="N207" s="485">
        <f t="shared" si="55"/>
        <v>0</v>
      </c>
      <c r="O207" s="482">
        <f t="shared" si="52"/>
        <v>0</v>
      </c>
    </row>
    <row r="209" spans="2:15" ht="13.5" thickBot="1">
      <c r="B209" s="468" t="s">
        <v>30</v>
      </c>
      <c r="C209" s="469" t="str">
        <f>VLOOKUP(B209,Классификаторы!$A:$B,2,FALSE)</f>
        <v>Цех 6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79"/>
    </row>
    <row r="210" spans="1:15" ht="10.5">
      <c r="A210" s="80" t="s">
        <v>0</v>
      </c>
      <c r="B210" s="55" t="s">
        <v>132</v>
      </c>
      <c r="C210" s="56">
        <v>39448</v>
      </c>
      <c r="D210" s="56">
        <v>39479</v>
      </c>
      <c r="E210" s="56">
        <v>39508</v>
      </c>
      <c r="F210" s="56">
        <v>39539</v>
      </c>
      <c r="G210" s="56">
        <v>39569</v>
      </c>
      <c r="H210" s="56">
        <v>39600</v>
      </c>
      <c r="I210" s="56">
        <v>39630</v>
      </c>
      <c r="J210" s="56">
        <v>39661</v>
      </c>
      <c r="K210" s="56">
        <v>39692</v>
      </c>
      <c r="L210" s="56">
        <v>39722</v>
      </c>
      <c r="M210" s="56">
        <v>39753</v>
      </c>
      <c r="N210" s="56">
        <v>39783</v>
      </c>
      <c r="O210" s="340" t="s">
        <v>67</v>
      </c>
    </row>
    <row r="211" spans="1:16" ht="10.5">
      <c r="A211" s="471" t="s">
        <v>7</v>
      </c>
      <c r="B211" s="481" t="str">
        <f>VLOOKUP(A211,Классификаторы!$A:$B,2,FALSE)</f>
        <v>Цеховые затраты</v>
      </c>
      <c r="C211" s="197">
        <f aca="true" t="shared" si="56" ref="C211:N211">SUM(C212:C217,C223,C225)</f>
        <v>0</v>
      </c>
      <c r="D211" s="197">
        <f t="shared" si="56"/>
        <v>0</v>
      </c>
      <c r="E211" s="197">
        <f t="shared" si="56"/>
        <v>0</v>
      </c>
      <c r="F211" s="197">
        <f t="shared" si="56"/>
        <v>0</v>
      </c>
      <c r="G211" s="197">
        <f t="shared" si="56"/>
        <v>0</v>
      </c>
      <c r="H211" s="197">
        <f t="shared" si="56"/>
        <v>0</v>
      </c>
      <c r="I211" s="197">
        <f t="shared" si="56"/>
        <v>0</v>
      </c>
      <c r="J211" s="197">
        <f t="shared" si="56"/>
        <v>0</v>
      </c>
      <c r="K211" s="197">
        <f t="shared" si="56"/>
        <v>0</v>
      </c>
      <c r="L211" s="197">
        <f t="shared" si="56"/>
        <v>0</v>
      </c>
      <c r="M211" s="197">
        <f t="shared" si="56"/>
        <v>0</v>
      </c>
      <c r="N211" s="318">
        <f t="shared" si="56"/>
        <v>0</v>
      </c>
      <c r="O211" s="84">
        <f aca="true" t="shared" si="57" ref="O211:O235">SUM(C211:N211)</f>
        <v>0</v>
      </c>
      <c r="P211" s="34"/>
    </row>
    <row r="212" spans="1:15" ht="10.5">
      <c r="A212" s="407" t="s">
        <v>8</v>
      </c>
      <c r="B212" s="475" t="str">
        <f>VLOOKUP(A212,Классификаторы!$A:$B,2,FALSE)</f>
        <v>Амортизация зданий и сооружений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474"/>
      <c r="O212" s="144">
        <f t="shared" si="57"/>
        <v>0</v>
      </c>
    </row>
    <row r="213" spans="1:15" ht="10.5">
      <c r="A213" s="407" t="s">
        <v>9</v>
      </c>
      <c r="B213" s="475" t="str">
        <f>VLOOKUP(A213,Классификаторы!$A:$B,2,FALSE)</f>
        <v>Амортизация технологического оборудования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474"/>
      <c r="O213" s="144">
        <f t="shared" si="57"/>
        <v>0</v>
      </c>
    </row>
    <row r="214" spans="1:15" ht="10.5">
      <c r="A214" s="407" t="s">
        <v>10</v>
      </c>
      <c r="B214" s="475" t="str">
        <f>VLOOKUP(A214,Классификаторы!$A:$B,2,FALSE)</f>
        <v>Затраты на охрану труда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474"/>
      <c r="O214" s="144">
        <f t="shared" si="57"/>
        <v>0</v>
      </c>
    </row>
    <row r="215" spans="1:15" ht="10.5">
      <c r="A215" s="407" t="s">
        <v>11</v>
      </c>
      <c r="B215" s="475" t="str">
        <f>VLOOKUP(A215,Классификаторы!$A:$B,2,FALSE)</f>
        <v>Зарплата управления цехов с отчислениями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474"/>
      <c r="O215" s="144">
        <f t="shared" si="57"/>
        <v>0</v>
      </c>
    </row>
    <row r="216" spans="1:15" ht="10.5">
      <c r="A216" s="407" t="s">
        <v>38</v>
      </c>
      <c r="B216" s="475" t="str">
        <f>VLOOKUP(A216,Классификаторы!$A:$B,2,FALSE)</f>
        <v>Прочая зарплата с отчислениями в составе цеховых затрат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474"/>
      <c r="O216" s="144">
        <f t="shared" si="57"/>
        <v>0</v>
      </c>
    </row>
    <row r="217" spans="1:15" ht="10.5">
      <c r="A217" s="407" t="s">
        <v>39</v>
      </c>
      <c r="B217" s="475" t="str">
        <f>VLOOKUP(A217,Классификаторы!$A:$B,2,FALSE)</f>
        <v>Затраты на содержание зданий и сооружений</v>
      </c>
      <c r="C217" s="112">
        <f aca="true" t="shared" si="58" ref="C217:N217">SUM(C218:C222)</f>
        <v>0</v>
      </c>
      <c r="D217" s="112">
        <f t="shared" si="58"/>
        <v>0</v>
      </c>
      <c r="E217" s="112">
        <f t="shared" si="58"/>
        <v>0</v>
      </c>
      <c r="F217" s="112">
        <f t="shared" si="58"/>
        <v>0</v>
      </c>
      <c r="G217" s="112">
        <f t="shared" si="58"/>
        <v>0</v>
      </c>
      <c r="H217" s="112">
        <f t="shared" si="58"/>
        <v>0</v>
      </c>
      <c r="I217" s="112">
        <f t="shared" si="58"/>
        <v>0</v>
      </c>
      <c r="J217" s="112">
        <f t="shared" si="58"/>
        <v>0</v>
      </c>
      <c r="K217" s="112">
        <f t="shared" si="58"/>
        <v>0</v>
      </c>
      <c r="L217" s="112">
        <f t="shared" si="58"/>
        <v>0</v>
      </c>
      <c r="M217" s="112">
        <f t="shared" si="58"/>
        <v>0</v>
      </c>
      <c r="N217" s="370">
        <f t="shared" si="58"/>
        <v>0</v>
      </c>
      <c r="O217" s="144">
        <f t="shared" si="57"/>
        <v>0</v>
      </c>
    </row>
    <row r="218" spans="1:15" ht="10.5">
      <c r="A218" s="407" t="s">
        <v>106</v>
      </c>
      <c r="B218" s="475" t="str">
        <f>VLOOKUP(A218,Классификаторы!$A:$B,2,FALSE)</f>
        <v>Зарплата вспомогательных рабочих с отчислениями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474"/>
      <c r="O218" s="144">
        <f t="shared" si="57"/>
        <v>0</v>
      </c>
    </row>
    <row r="219" spans="1:15" ht="10.5">
      <c r="A219" s="407" t="s">
        <v>107</v>
      </c>
      <c r="B219" s="475" t="str">
        <f>VLOOKUP(A219,Классификаторы!$A:$B,2,FALSE)</f>
        <v>Вода техническая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474"/>
      <c r="O219" s="144">
        <f t="shared" si="57"/>
        <v>0</v>
      </c>
    </row>
    <row r="220" spans="1:15" ht="10.5">
      <c r="A220" s="407" t="s">
        <v>108</v>
      </c>
      <c r="B220" s="475" t="str">
        <f>VLOOKUP(A220,Классификаторы!$A:$B,2,FALSE)</f>
        <v>ТЭР в составе цеховых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474"/>
      <c r="O220" s="144">
        <f t="shared" si="57"/>
        <v>0</v>
      </c>
    </row>
    <row r="221" spans="1:15" ht="10.5">
      <c r="A221" s="407" t="s">
        <v>109</v>
      </c>
      <c r="B221" s="475" t="str">
        <f>VLOOKUP(A221,Классификаторы!$A:$B,2,FALSE)</f>
        <v>Теплоэнергия в составе цеховых затрат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474"/>
      <c r="O221" s="144">
        <f t="shared" si="57"/>
        <v>0</v>
      </c>
    </row>
    <row r="222" spans="1:15" ht="10.5">
      <c r="A222" s="407" t="s">
        <v>110</v>
      </c>
      <c r="B222" s="475" t="str">
        <f>VLOOKUP(A222,Классификаторы!$A:$B,2,FALSE)</f>
        <v>Услуги сторонних организаций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474"/>
      <c r="O222" s="144">
        <f t="shared" si="57"/>
        <v>0</v>
      </c>
    </row>
    <row r="223" spans="1:15" ht="10.5">
      <c r="A223" s="407" t="s">
        <v>40</v>
      </c>
      <c r="B223" s="475" t="str">
        <f>VLOOKUP(A223,Классификаторы!$A:$B,2,FALSE)</f>
        <v>Текущий ремонт зданий и сооружений</v>
      </c>
      <c r="C223" s="112">
        <f aca="true" t="shared" si="59" ref="C223:N223">SUM(C224)</f>
        <v>0</v>
      </c>
      <c r="D223" s="112">
        <f t="shared" si="59"/>
        <v>0</v>
      </c>
      <c r="E223" s="112">
        <f t="shared" si="59"/>
        <v>0</v>
      </c>
      <c r="F223" s="112">
        <f t="shared" si="59"/>
        <v>0</v>
      </c>
      <c r="G223" s="112">
        <f t="shared" si="59"/>
        <v>0</v>
      </c>
      <c r="H223" s="112">
        <f t="shared" si="59"/>
        <v>0</v>
      </c>
      <c r="I223" s="112">
        <f t="shared" si="59"/>
        <v>0</v>
      </c>
      <c r="J223" s="112">
        <f t="shared" si="59"/>
        <v>0</v>
      </c>
      <c r="K223" s="112">
        <f t="shared" si="59"/>
        <v>0</v>
      </c>
      <c r="L223" s="112">
        <f t="shared" si="59"/>
        <v>0</v>
      </c>
      <c r="M223" s="112">
        <f t="shared" si="59"/>
        <v>0</v>
      </c>
      <c r="N223" s="370">
        <f t="shared" si="59"/>
        <v>0</v>
      </c>
      <c r="O223" s="144">
        <f t="shared" si="57"/>
        <v>0</v>
      </c>
    </row>
    <row r="224" spans="1:15" ht="10.5">
      <c r="A224" s="407" t="s">
        <v>112</v>
      </c>
      <c r="B224" s="475" t="str">
        <f>VLOOKUP(A224,Классификаторы!$A:$B,2,FALSE)</f>
        <v>Услуги сторонних организаций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474"/>
      <c r="O224" s="144">
        <f t="shared" si="57"/>
        <v>0</v>
      </c>
    </row>
    <row r="225" spans="1:15" ht="10.5">
      <c r="A225" s="476" t="s">
        <v>41</v>
      </c>
      <c r="B225" s="480" t="str">
        <f>VLOOKUP(A225,Классификаторы!$A:$B,2,FALSE)</f>
        <v>Прочие затраты</v>
      </c>
      <c r="C225" s="478"/>
      <c r="D225" s="478"/>
      <c r="E225" s="478"/>
      <c r="F225" s="478"/>
      <c r="G225" s="478"/>
      <c r="H225" s="478"/>
      <c r="I225" s="478"/>
      <c r="J225" s="478"/>
      <c r="K225" s="478"/>
      <c r="L225" s="478"/>
      <c r="M225" s="478"/>
      <c r="N225" s="479"/>
      <c r="O225" s="144">
        <f t="shared" si="57"/>
        <v>0</v>
      </c>
    </row>
    <row r="226" spans="1:15" ht="10.5">
      <c r="A226" s="471" t="s">
        <v>12</v>
      </c>
      <c r="B226" s="481" t="str">
        <f>VLOOKUP(A226,Классификаторы!$A:$B,2,FALSE)</f>
        <v>Затраты на ремонт и содержание оборудования</v>
      </c>
      <c r="C226" s="197">
        <f aca="true" t="shared" si="60" ref="C226:N226">SUM(C227,C231)</f>
        <v>0</v>
      </c>
      <c r="D226" s="197">
        <f t="shared" si="60"/>
        <v>0</v>
      </c>
      <c r="E226" s="197">
        <f t="shared" si="60"/>
        <v>0</v>
      </c>
      <c r="F226" s="197">
        <f t="shared" si="60"/>
        <v>0</v>
      </c>
      <c r="G226" s="197">
        <f t="shared" si="60"/>
        <v>0</v>
      </c>
      <c r="H226" s="197">
        <f t="shared" si="60"/>
        <v>0</v>
      </c>
      <c r="I226" s="197">
        <f t="shared" si="60"/>
        <v>0</v>
      </c>
      <c r="J226" s="197">
        <f t="shared" si="60"/>
        <v>0</v>
      </c>
      <c r="K226" s="197">
        <f t="shared" si="60"/>
        <v>0</v>
      </c>
      <c r="L226" s="197">
        <f t="shared" si="60"/>
        <v>0</v>
      </c>
      <c r="M226" s="197">
        <f t="shared" si="60"/>
        <v>0</v>
      </c>
      <c r="N226" s="318">
        <f t="shared" si="60"/>
        <v>0</v>
      </c>
      <c r="O226" s="84">
        <f t="shared" si="57"/>
        <v>0</v>
      </c>
    </row>
    <row r="227" spans="1:15" ht="10.5">
      <c r="A227" s="407" t="s">
        <v>13</v>
      </c>
      <c r="B227" s="475" t="str">
        <f>VLOOKUP(A227,Классификаторы!$A:$B,2,FALSE)</f>
        <v>Содержание и эксплуатация технологического оборудования</v>
      </c>
      <c r="C227" s="112">
        <f aca="true" t="shared" si="61" ref="C227:N227">SUM(C228:C230)</f>
        <v>0</v>
      </c>
      <c r="D227" s="112">
        <f t="shared" si="61"/>
        <v>0</v>
      </c>
      <c r="E227" s="112">
        <f t="shared" si="61"/>
        <v>0</v>
      </c>
      <c r="F227" s="112">
        <f t="shared" si="61"/>
        <v>0</v>
      </c>
      <c r="G227" s="112">
        <f t="shared" si="61"/>
        <v>0</v>
      </c>
      <c r="H227" s="112">
        <f t="shared" si="61"/>
        <v>0</v>
      </c>
      <c r="I227" s="112">
        <f t="shared" si="61"/>
        <v>0</v>
      </c>
      <c r="J227" s="112">
        <f t="shared" si="61"/>
        <v>0</v>
      </c>
      <c r="K227" s="112">
        <f t="shared" si="61"/>
        <v>0</v>
      </c>
      <c r="L227" s="112">
        <f t="shared" si="61"/>
        <v>0</v>
      </c>
      <c r="M227" s="112">
        <f t="shared" si="61"/>
        <v>0</v>
      </c>
      <c r="N227" s="370">
        <f t="shared" si="61"/>
        <v>0</v>
      </c>
      <c r="O227" s="144">
        <f t="shared" si="57"/>
        <v>0</v>
      </c>
    </row>
    <row r="228" spans="1:15" ht="10.5">
      <c r="A228" s="407" t="s">
        <v>123</v>
      </c>
      <c r="B228" s="475" t="str">
        <f>VLOOKUP(A228,Классификаторы!$A:$B,2,FALSE)</f>
        <v>Эксплуатационные материалы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474"/>
      <c r="O228" s="144">
        <f t="shared" si="57"/>
        <v>0</v>
      </c>
    </row>
    <row r="229" spans="1:15" ht="10.5">
      <c r="A229" s="407" t="s">
        <v>124</v>
      </c>
      <c r="B229" s="475" t="str">
        <f>VLOOKUP(A229,Классификаторы!$A:$B,2,FALSE)</f>
        <v>ГСМ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474"/>
      <c r="O229" s="144">
        <f t="shared" si="57"/>
        <v>0</v>
      </c>
    </row>
    <row r="230" spans="1:15" ht="10.5">
      <c r="A230" s="407" t="s">
        <v>125</v>
      </c>
      <c r="B230" s="475" t="str">
        <f>VLOOKUP(A230,Классификаторы!$A:$B,2,FALSE)</f>
        <v>Услуги сторонних организаций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474"/>
      <c r="O230" s="144">
        <f t="shared" si="57"/>
        <v>0</v>
      </c>
    </row>
    <row r="231" spans="1:15" ht="10.5">
      <c r="A231" s="407" t="s">
        <v>14</v>
      </c>
      <c r="B231" s="475" t="str">
        <f>VLOOKUP(A231,Классификаторы!$A:$B,2,FALSE)</f>
        <v>Текущий ремонт технологического оборудования</v>
      </c>
      <c r="C231" s="112">
        <f>SUM(C232:C235)</f>
        <v>0</v>
      </c>
      <c r="D231" s="112">
        <f aca="true" t="shared" si="62" ref="D231:N231">SUM(D232:D235)</f>
        <v>0</v>
      </c>
      <c r="E231" s="112">
        <f t="shared" si="62"/>
        <v>0</v>
      </c>
      <c r="F231" s="112">
        <f t="shared" si="62"/>
        <v>0</v>
      </c>
      <c r="G231" s="112">
        <f t="shared" si="62"/>
        <v>0</v>
      </c>
      <c r="H231" s="112">
        <f t="shared" si="62"/>
        <v>0</v>
      </c>
      <c r="I231" s="112">
        <f t="shared" si="62"/>
        <v>0</v>
      </c>
      <c r="J231" s="112">
        <f t="shared" si="62"/>
        <v>0</v>
      </c>
      <c r="K231" s="112">
        <f t="shared" si="62"/>
        <v>0</v>
      </c>
      <c r="L231" s="112">
        <f t="shared" si="62"/>
        <v>0</v>
      </c>
      <c r="M231" s="112">
        <f t="shared" si="62"/>
        <v>0</v>
      </c>
      <c r="N231" s="370">
        <f t="shared" si="62"/>
        <v>0</v>
      </c>
      <c r="O231" s="144">
        <f t="shared" si="57"/>
        <v>0</v>
      </c>
    </row>
    <row r="232" spans="1:15" ht="10.5">
      <c r="A232" s="407" t="s">
        <v>127</v>
      </c>
      <c r="B232" s="475" t="str">
        <f>VLOOKUP(A232,Классификаторы!$A:$B,2,FALSE)</f>
        <v>Зарплата рабочих РМЦ с отчислениями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474"/>
      <c r="O232" s="144">
        <f t="shared" si="57"/>
        <v>0</v>
      </c>
    </row>
    <row r="233" spans="1:15" ht="10.5">
      <c r="A233" s="407" t="s">
        <v>128</v>
      </c>
      <c r="B233" s="475" t="str">
        <f>VLOOKUP(A233,Классификаторы!$A:$B,2,FALSE)</f>
        <v>Расходные материалы для ремонта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474"/>
      <c r="O233" s="144">
        <f t="shared" si="57"/>
        <v>0</v>
      </c>
    </row>
    <row r="234" spans="1:15" ht="10.5">
      <c r="A234" s="407" t="s">
        <v>129</v>
      </c>
      <c r="B234" s="475" t="str">
        <f>VLOOKUP(A234,Классификаторы!$A:$B,2,FALSE)</f>
        <v>Запасные части для ремонта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474"/>
      <c r="O234" s="144">
        <f t="shared" si="57"/>
        <v>0</v>
      </c>
    </row>
    <row r="235" spans="1:15" ht="10.5">
      <c r="A235" s="497" t="s">
        <v>130</v>
      </c>
      <c r="B235" s="498" t="str">
        <f>VLOOKUP(A235,Классификаторы!$A:$B,2,FALSE)</f>
        <v>Услуги сторонних организаций</v>
      </c>
      <c r="C235" s="499"/>
      <c r="D235" s="499"/>
      <c r="E235" s="499"/>
      <c r="F235" s="499"/>
      <c r="G235" s="499"/>
      <c r="H235" s="499"/>
      <c r="I235" s="499"/>
      <c r="J235" s="499"/>
      <c r="K235" s="499"/>
      <c r="L235" s="499"/>
      <c r="M235" s="499"/>
      <c r="N235" s="500"/>
      <c r="O235" s="144">
        <f t="shared" si="57"/>
        <v>0</v>
      </c>
    </row>
    <row r="236" spans="1:15" ht="10.5">
      <c r="A236" s="487"/>
      <c r="B236" s="483"/>
      <c r="C236" s="399"/>
      <c r="D236" s="399"/>
      <c r="E236" s="399"/>
      <c r="F236" s="399"/>
      <c r="G236" s="399"/>
      <c r="H236" s="399"/>
      <c r="I236" s="399"/>
      <c r="J236" s="399"/>
      <c r="K236" s="399"/>
      <c r="L236" s="399"/>
      <c r="M236" s="399"/>
      <c r="N236" s="399"/>
      <c r="O236" s="92"/>
    </row>
    <row r="237" spans="1:15" ht="10.5">
      <c r="A237" s="502" t="s">
        <v>133</v>
      </c>
      <c r="B237" s="455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133"/>
    </row>
    <row r="238" spans="1:15" ht="10.5">
      <c r="A238" s="488" t="s">
        <v>13</v>
      </c>
      <c r="B238" s="489" t="str">
        <f>VLOOKUP(A238,Классификаторы!$A:$B,2,FALSE)</f>
        <v>Содержание и эксплуатация технологического оборудования</v>
      </c>
      <c r="C238" s="117">
        <f aca="true" t="shared" si="63" ref="C238:N238">C227</f>
        <v>0</v>
      </c>
      <c r="D238" s="117">
        <f t="shared" si="63"/>
        <v>0</v>
      </c>
      <c r="E238" s="117">
        <f t="shared" si="63"/>
        <v>0</v>
      </c>
      <c r="F238" s="117">
        <f t="shared" si="63"/>
        <v>0</v>
      </c>
      <c r="G238" s="117">
        <f t="shared" si="63"/>
        <v>0</v>
      </c>
      <c r="H238" s="117">
        <f t="shared" si="63"/>
        <v>0</v>
      </c>
      <c r="I238" s="117">
        <f t="shared" si="63"/>
        <v>0</v>
      </c>
      <c r="J238" s="117">
        <f t="shared" si="63"/>
        <v>0</v>
      </c>
      <c r="K238" s="117">
        <f t="shared" si="63"/>
        <v>0</v>
      </c>
      <c r="L238" s="117">
        <f t="shared" si="63"/>
        <v>0</v>
      </c>
      <c r="M238" s="117">
        <f t="shared" si="63"/>
        <v>0</v>
      </c>
      <c r="N238" s="117">
        <f t="shared" si="63"/>
        <v>0</v>
      </c>
      <c r="O238" s="194">
        <f aca="true" t="shared" si="64" ref="O238:O247">SUM(C238:N238)</f>
        <v>0</v>
      </c>
    </row>
    <row r="239" spans="1:16" ht="10.5">
      <c r="A239" s="407" t="s">
        <v>26</v>
      </c>
      <c r="B239" s="473" t="str">
        <f>VLOOKUP(A239,Классификаторы!$A:$B,2,FALSE)</f>
        <v>Цех 1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94">
        <f t="shared" si="64"/>
        <v>0</v>
      </c>
      <c r="P239" s="27" t="str">
        <f>CONCATENATE(A238,A239)</f>
        <v>3.1Ц_1</v>
      </c>
    </row>
    <row r="240" spans="1:16" ht="10.5">
      <c r="A240" s="407" t="s">
        <v>27</v>
      </c>
      <c r="B240" s="473" t="str">
        <f>VLOOKUP(A240,Классификаторы!$A:$B,2,FALSE)</f>
        <v>Цех 2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94">
        <f t="shared" si="64"/>
        <v>0</v>
      </c>
      <c r="P240" s="27" t="str">
        <f>CONCATENATE(A238,A240)</f>
        <v>3.1Ц_2</v>
      </c>
    </row>
    <row r="241" spans="1:16" ht="10.5">
      <c r="A241" s="407" t="s">
        <v>28</v>
      </c>
      <c r="B241" s="473" t="str">
        <f>VLOOKUP(A241,Классификаторы!$A:$B,2,FALSE)</f>
        <v>Цех 3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94">
        <f t="shared" si="64"/>
        <v>0</v>
      </c>
      <c r="P241" s="27" t="str">
        <f>CONCATENATE(A238,A241)</f>
        <v>3.1Ц_3</v>
      </c>
    </row>
    <row r="242" spans="1:15" ht="10.5">
      <c r="A242" s="369"/>
      <c r="B242" s="490" t="s">
        <v>134</v>
      </c>
      <c r="C242" s="491">
        <f aca="true" t="shared" si="65" ref="C242:N242">C238-SUM(C239:C241)</f>
        <v>0</v>
      </c>
      <c r="D242" s="491">
        <f t="shared" si="65"/>
        <v>0</v>
      </c>
      <c r="E242" s="491">
        <f t="shared" si="65"/>
        <v>0</v>
      </c>
      <c r="F242" s="491">
        <f t="shared" si="65"/>
        <v>0</v>
      </c>
      <c r="G242" s="491">
        <f t="shared" si="65"/>
        <v>0</v>
      </c>
      <c r="H242" s="491">
        <f t="shared" si="65"/>
        <v>0</v>
      </c>
      <c r="I242" s="491">
        <f t="shared" si="65"/>
        <v>0</v>
      </c>
      <c r="J242" s="491">
        <f t="shared" si="65"/>
        <v>0</v>
      </c>
      <c r="K242" s="491">
        <f t="shared" si="65"/>
        <v>0</v>
      </c>
      <c r="L242" s="491">
        <f t="shared" si="65"/>
        <v>0</v>
      </c>
      <c r="M242" s="491">
        <f t="shared" si="65"/>
        <v>0</v>
      </c>
      <c r="N242" s="491">
        <f t="shared" si="65"/>
        <v>0</v>
      </c>
      <c r="O242" s="495">
        <f t="shared" si="64"/>
        <v>0</v>
      </c>
    </row>
    <row r="243" spans="1:15" ht="10.5">
      <c r="A243" s="488" t="s">
        <v>14</v>
      </c>
      <c r="B243" s="489" t="str">
        <f>VLOOKUP(A243,Классификаторы!$A:$B,2,FALSE)</f>
        <v>Текущий ремонт технологического оборудования</v>
      </c>
      <c r="C243" s="117">
        <f aca="true" t="shared" si="66" ref="C243:N243">C231</f>
        <v>0</v>
      </c>
      <c r="D243" s="117">
        <f t="shared" si="66"/>
        <v>0</v>
      </c>
      <c r="E243" s="117">
        <f t="shared" si="66"/>
        <v>0</v>
      </c>
      <c r="F243" s="117">
        <f t="shared" si="66"/>
        <v>0</v>
      </c>
      <c r="G243" s="117">
        <f t="shared" si="66"/>
        <v>0</v>
      </c>
      <c r="H243" s="117">
        <f t="shared" si="66"/>
        <v>0</v>
      </c>
      <c r="I243" s="117">
        <f t="shared" si="66"/>
        <v>0</v>
      </c>
      <c r="J243" s="117">
        <f t="shared" si="66"/>
        <v>0</v>
      </c>
      <c r="K243" s="117">
        <f t="shared" si="66"/>
        <v>0</v>
      </c>
      <c r="L243" s="117">
        <f t="shared" si="66"/>
        <v>0</v>
      </c>
      <c r="M243" s="117">
        <f t="shared" si="66"/>
        <v>0</v>
      </c>
      <c r="N243" s="117">
        <f t="shared" si="66"/>
        <v>0</v>
      </c>
      <c r="O243" s="194">
        <f t="shared" si="64"/>
        <v>0</v>
      </c>
    </row>
    <row r="244" spans="1:16" ht="10.5">
      <c r="A244" s="407" t="s">
        <v>26</v>
      </c>
      <c r="B244" s="473" t="str">
        <f>VLOOKUP(A244,Классификаторы!$A:$B,2,FALSE)</f>
        <v>Цех 1</v>
      </c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94">
        <f t="shared" si="64"/>
        <v>0</v>
      </c>
      <c r="P244" s="27" t="str">
        <f>CONCATENATE(A243,A244)</f>
        <v>3.2Ц_1</v>
      </c>
    </row>
    <row r="245" spans="1:16" ht="10.5">
      <c r="A245" s="407" t="s">
        <v>27</v>
      </c>
      <c r="B245" s="473" t="str">
        <f>VLOOKUP(A245,Классификаторы!$A:$B,2,FALSE)</f>
        <v>Цех 2</v>
      </c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94">
        <f t="shared" si="64"/>
        <v>0</v>
      </c>
      <c r="P245" s="27" t="str">
        <f>CONCATENATE(A243,A245)</f>
        <v>3.2Ц_2</v>
      </c>
    </row>
    <row r="246" spans="1:16" ht="10.5">
      <c r="A246" s="407" t="s">
        <v>28</v>
      </c>
      <c r="B246" s="473" t="str">
        <f>VLOOKUP(A246,Классификаторы!$A:$B,2,FALSE)</f>
        <v>Цех 3</v>
      </c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94">
        <f t="shared" si="64"/>
        <v>0</v>
      </c>
      <c r="P246" s="27" t="str">
        <f>CONCATENATE(A243,A246)</f>
        <v>3.2Ц_3</v>
      </c>
    </row>
    <row r="247" spans="1:15" ht="10.5">
      <c r="A247" s="493"/>
      <c r="B247" s="504" t="s">
        <v>134</v>
      </c>
      <c r="C247" s="485">
        <f aca="true" t="shared" si="67" ref="C247:N247">C243-SUM(C244:C246)</f>
        <v>0</v>
      </c>
      <c r="D247" s="485">
        <f t="shared" si="67"/>
        <v>0</v>
      </c>
      <c r="E247" s="485">
        <f t="shared" si="67"/>
        <v>0</v>
      </c>
      <c r="F247" s="485">
        <f t="shared" si="67"/>
        <v>0</v>
      </c>
      <c r="G247" s="485">
        <f t="shared" si="67"/>
        <v>0</v>
      </c>
      <c r="H247" s="485">
        <f t="shared" si="67"/>
        <v>0</v>
      </c>
      <c r="I247" s="485">
        <f t="shared" si="67"/>
        <v>0</v>
      </c>
      <c r="J247" s="485">
        <f t="shared" si="67"/>
        <v>0</v>
      </c>
      <c r="K247" s="485">
        <f t="shared" si="67"/>
        <v>0</v>
      </c>
      <c r="L247" s="485">
        <f t="shared" si="67"/>
        <v>0</v>
      </c>
      <c r="M247" s="485">
        <f t="shared" si="67"/>
        <v>0</v>
      </c>
      <c r="N247" s="485">
        <f t="shared" si="67"/>
        <v>0</v>
      </c>
      <c r="O247" s="482">
        <f t="shared" si="64"/>
        <v>0</v>
      </c>
    </row>
    <row r="248" spans="1:15" ht="10.5">
      <c r="A248" s="110"/>
      <c r="B248" s="198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</row>
    <row r="250" spans="2:15" ht="13.5" thickBot="1">
      <c r="B250" s="468" t="s">
        <v>31</v>
      </c>
      <c r="C250" s="469" t="str">
        <f>VLOOKUP(B250,Классификаторы!$A:$B,2,FALSE)</f>
        <v>Цех 7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79"/>
    </row>
    <row r="251" spans="1:15" ht="10.5">
      <c r="A251" s="80" t="s">
        <v>0</v>
      </c>
      <c r="B251" s="55" t="s">
        <v>132</v>
      </c>
      <c r="C251" s="56">
        <v>39448</v>
      </c>
      <c r="D251" s="56">
        <v>39479</v>
      </c>
      <c r="E251" s="56">
        <v>39508</v>
      </c>
      <c r="F251" s="56">
        <v>39539</v>
      </c>
      <c r="G251" s="56">
        <v>39569</v>
      </c>
      <c r="H251" s="56">
        <v>39600</v>
      </c>
      <c r="I251" s="56">
        <v>39630</v>
      </c>
      <c r="J251" s="56">
        <v>39661</v>
      </c>
      <c r="K251" s="56">
        <v>39692</v>
      </c>
      <c r="L251" s="56">
        <v>39722</v>
      </c>
      <c r="M251" s="56">
        <v>39753</v>
      </c>
      <c r="N251" s="56">
        <v>39783</v>
      </c>
      <c r="O251" s="340" t="s">
        <v>67</v>
      </c>
    </row>
    <row r="252" spans="1:16" ht="10.5">
      <c r="A252" s="471" t="s">
        <v>7</v>
      </c>
      <c r="B252" s="481" t="str">
        <f>VLOOKUP(A252,Классификаторы!$A:$B,2,FALSE)</f>
        <v>Цеховые затраты</v>
      </c>
      <c r="C252" s="197">
        <f aca="true" t="shared" si="68" ref="C252:N252">SUM(C253:C258,C264,C266)</f>
        <v>0</v>
      </c>
      <c r="D252" s="197">
        <f t="shared" si="68"/>
        <v>0</v>
      </c>
      <c r="E252" s="197">
        <f t="shared" si="68"/>
        <v>0</v>
      </c>
      <c r="F252" s="197">
        <f t="shared" si="68"/>
        <v>0</v>
      </c>
      <c r="G252" s="197">
        <f t="shared" si="68"/>
        <v>0</v>
      </c>
      <c r="H252" s="197">
        <f t="shared" si="68"/>
        <v>0</v>
      </c>
      <c r="I252" s="197">
        <f t="shared" si="68"/>
        <v>0</v>
      </c>
      <c r="J252" s="197">
        <f t="shared" si="68"/>
        <v>0</v>
      </c>
      <c r="K252" s="197">
        <f t="shared" si="68"/>
        <v>0</v>
      </c>
      <c r="L252" s="197">
        <f t="shared" si="68"/>
        <v>0</v>
      </c>
      <c r="M252" s="197">
        <f t="shared" si="68"/>
        <v>0</v>
      </c>
      <c r="N252" s="318">
        <f t="shared" si="68"/>
        <v>0</v>
      </c>
      <c r="O252" s="84">
        <f aca="true" t="shared" si="69" ref="O252:O276">SUM(C252:N252)</f>
        <v>0</v>
      </c>
      <c r="P252" s="34"/>
    </row>
    <row r="253" spans="1:15" ht="10.5">
      <c r="A253" s="407" t="s">
        <v>8</v>
      </c>
      <c r="B253" s="475" t="str">
        <f>VLOOKUP(A253,Классификаторы!$A:$B,2,FALSE)</f>
        <v>Амортизация зданий и сооружений</v>
      </c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474"/>
      <c r="O253" s="144">
        <f t="shared" si="69"/>
        <v>0</v>
      </c>
    </row>
    <row r="254" spans="1:15" ht="10.5">
      <c r="A254" s="407" t="s">
        <v>9</v>
      </c>
      <c r="B254" s="475" t="str">
        <f>VLOOKUP(A254,Классификаторы!$A:$B,2,FALSE)</f>
        <v>Амортизация технологического оборудования</v>
      </c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474"/>
      <c r="O254" s="144">
        <f t="shared" si="69"/>
        <v>0</v>
      </c>
    </row>
    <row r="255" spans="1:15" ht="10.5">
      <c r="A255" s="407" t="s">
        <v>10</v>
      </c>
      <c r="B255" s="475" t="str">
        <f>VLOOKUP(A255,Классификаторы!$A:$B,2,FALSE)</f>
        <v>Затраты на охрану труда</v>
      </c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474"/>
      <c r="O255" s="144">
        <f t="shared" si="69"/>
        <v>0</v>
      </c>
    </row>
    <row r="256" spans="1:15" ht="10.5">
      <c r="A256" s="407" t="s">
        <v>11</v>
      </c>
      <c r="B256" s="475" t="str">
        <f>VLOOKUP(A256,Классификаторы!$A:$B,2,FALSE)</f>
        <v>Зарплата управления цехов с отчислениями</v>
      </c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474"/>
      <c r="O256" s="144">
        <f t="shared" si="69"/>
        <v>0</v>
      </c>
    </row>
    <row r="257" spans="1:15" ht="10.5">
      <c r="A257" s="407" t="s">
        <v>38</v>
      </c>
      <c r="B257" s="475" t="str">
        <f>VLOOKUP(A257,Классификаторы!$A:$B,2,FALSE)</f>
        <v>Прочая зарплата с отчислениями в составе цеховых затрат</v>
      </c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474"/>
      <c r="O257" s="144">
        <f t="shared" si="69"/>
        <v>0</v>
      </c>
    </row>
    <row r="258" spans="1:15" ht="10.5">
      <c r="A258" s="407" t="s">
        <v>39</v>
      </c>
      <c r="B258" s="475" t="str">
        <f>VLOOKUP(A258,Классификаторы!$A:$B,2,FALSE)</f>
        <v>Затраты на содержание зданий и сооружений</v>
      </c>
      <c r="C258" s="112">
        <f aca="true" t="shared" si="70" ref="C258:N258">SUM(C259:C263)</f>
        <v>0</v>
      </c>
      <c r="D258" s="112">
        <f t="shared" si="70"/>
        <v>0</v>
      </c>
      <c r="E258" s="112">
        <f t="shared" si="70"/>
        <v>0</v>
      </c>
      <c r="F258" s="112">
        <f t="shared" si="70"/>
        <v>0</v>
      </c>
      <c r="G258" s="112">
        <f t="shared" si="70"/>
        <v>0</v>
      </c>
      <c r="H258" s="112">
        <f t="shared" si="70"/>
        <v>0</v>
      </c>
      <c r="I258" s="112">
        <f t="shared" si="70"/>
        <v>0</v>
      </c>
      <c r="J258" s="112">
        <f t="shared" si="70"/>
        <v>0</v>
      </c>
      <c r="K258" s="112">
        <f t="shared" si="70"/>
        <v>0</v>
      </c>
      <c r="L258" s="112">
        <f t="shared" si="70"/>
        <v>0</v>
      </c>
      <c r="M258" s="112">
        <f t="shared" si="70"/>
        <v>0</v>
      </c>
      <c r="N258" s="370">
        <f t="shared" si="70"/>
        <v>0</v>
      </c>
      <c r="O258" s="144">
        <f t="shared" si="69"/>
        <v>0</v>
      </c>
    </row>
    <row r="259" spans="1:15" ht="10.5">
      <c r="A259" s="407" t="s">
        <v>106</v>
      </c>
      <c r="B259" s="475" t="str">
        <f>VLOOKUP(A259,Классификаторы!$A:$B,2,FALSE)</f>
        <v>Зарплата вспомогательных рабочих с отчислениями</v>
      </c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474"/>
      <c r="O259" s="144">
        <f t="shared" si="69"/>
        <v>0</v>
      </c>
    </row>
    <row r="260" spans="1:15" ht="10.5">
      <c r="A260" s="407" t="s">
        <v>107</v>
      </c>
      <c r="B260" s="475" t="str">
        <f>VLOOKUP(A260,Классификаторы!$A:$B,2,FALSE)</f>
        <v>Вода техническая</v>
      </c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474"/>
      <c r="O260" s="144">
        <f t="shared" si="69"/>
        <v>0</v>
      </c>
    </row>
    <row r="261" spans="1:15" ht="10.5">
      <c r="A261" s="407" t="s">
        <v>108</v>
      </c>
      <c r="B261" s="475" t="str">
        <f>VLOOKUP(A261,Классификаторы!$A:$B,2,FALSE)</f>
        <v>ТЭР в составе цеховых</v>
      </c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474"/>
      <c r="O261" s="144">
        <f t="shared" si="69"/>
        <v>0</v>
      </c>
    </row>
    <row r="262" spans="1:15" ht="10.5">
      <c r="A262" s="407" t="s">
        <v>109</v>
      </c>
      <c r="B262" s="475" t="str">
        <f>VLOOKUP(A262,Классификаторы!$A:$B,2,FALSE)</f>
        <v>Теплоэнергия в составе цеховых затрат</v>
      </c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474"/>
      <c r="O262" s="144">
        <f t="shared" si="69"/>
        <v>0</v>
      </c>
    </row>
    <row r="263" spans="1:15" ht="10.5">
      <c r="A263" s="407" t="s">
        <v>110</v>
      </c>
      <c r="B263" s="475" t="str">
        <f>VLOOKUP(A263,Классификаторы!$A:$B,2,FALSE)</f>
        <v>Услуги сторонних организаций</v>
      </c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474"/>
      <c r="O263" s="144">
        <f t="shared" si="69"/>
        <v>0</v>
      </c>
    </row>
    <row r="264" spans="1:15" ht="10.5">
      <c r="A264" s="407" t="s">
        <v>40</v>
      </c>
      <c r="B264" s="475" t="str">
        <f>VLOOKUP(A264,Классификаторы!$A:$B,2,FALSE)</f>
        <v>Текущий ремонт зданий и сооружений</v>
      </c>
      <c r="C264" s="112">
        <f aca="true" t="shared" si="71" ref="C264:N264">SUM(C265)</f>
        <v>0</v>
      </c>
      <c r="D264" s="112">
        <f t="shared" si="71"/>
        <v>0</v>
      </c>
      <c r="E264" s="112">
        <f t="shared" si="71"/>
        <v>0</v>
      </c>
      <c r="F264" s="112">
        <f t="shared" si="71"/>
        <v>0</v>
      </c>
      <c r="G264" s="112">
        <f t="shared" si="71"/>
        <v>0</v>
      </c>
      <c r="H264" s="112">
        <f t="shared" si="71"/>
        <v>0</v>
      </c>
      <c r="I264" s="112">
        <f t="shared" si="71"/>
        <v>0</v>
      </c>
      <c r="J264" s="112">
        <f t="shared" si="71"/>
        <v>0</v>
      </c>
      <c r="K264" s="112">
        <f t="shared" si="71"/>
        <v>0</v>
      </c>
      <c r="L264" s="112">
        <f t="shared" si="71"/>
        <v>0</v>
      </c>
      <c r="M264" s="112">
        <f t="shared" si="71"/>
        <v>0</v>
      </c>
      <c r="N264" s="370">
        <f t="shared" si="71"/>
        <v>0</v>
      </c>
      <c r="O264" s="144">
        <f t="shared" si="69"/>
        <v>0</v>
      </c>
    </row>
    <row r="265" spans="1:15" ht="10.5">
      <c r="A265" s="407" t="s">
        <v>112</v>
      </c>
      <c r="B265" s="475" t="str">
        <f>VLOOKUP(A265,Классификаторы!$A:$B,2,FALSE)</f>
        <v>Услуги сторонних организаций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474"/>
      <c r="O265" s="144">
        <f t="shared" si="69"/>
        <v>0</v>
      </c>
    </row>
    <row r="266" spans="1:15" ht="10.5">
      <c r="A266" s="476" t="s">
        <v>41</v>
      </c>
      <c r="B266" s="480" t="str">
        <f>VLOOKUP(A266,Классификаторы!$A:$B,2,FALSE)</f>
        <v>Прочие затраты</v>
      </c>
      <c r="C266" s="478"/>
      <c r="D266" s="478"/>
      <c r="E266" s="478"/>
      <c r="F266" s="478"/>
      <c r="G266" s="478"/>
      <c r="H266" s="478"/>
      <c r="I266" s="478"/>
      <c r="J266" s="478"/>
      <c r="K266" s="478"/>
      <c r="L266" s="478"/>
      <c r="M266" s="478"/>
      <c r="N266" s="479"/>
      <c r="O266" s="144">
        <f t="shared" si="69"/>
        <v>0</v>
      </c>
    </row>
    <row r="267" spans="1:15" ht="10.5">
      <c r="A267" s="471" t="s">
        <v>12</v>
      </c>
      <c r="B267" s="481" t="str">
        <f>VLOOKUP(A267,Классификаторы!$A:$B,2,FALSE)</f>
        <v>Затраты на ремонт и содержание оборудования</v>
      </c>
      <c r="C267" s="197">
        <f aca="true" t="shared" si="72" ref="C267:N267">SUM(C268,C272)</f>
        <v>0</v>
      </c>
      <c r="D267" s="197">
        <f t="shared" si="72"/>
        <v>0</v>
      </c>
      <c r="E267" s="197">
        <f t="shared" si="72"/>
        <v>0</v>
      </c>
      <c r="F267" s="197">
        <f t="shared" si="72"/>
        <v>0</v>
      </c>
      <c r="G267" s="197">
        <f t="shared" si="72"/>
        <v>0</v>
      </c>
      <c r="H267" s="197">
        <f t="shared" si="72"/>
        <v>0</v>
      </c>
      <c r="I267" s="197">
        <f t="shared" si="72"/>
        <v>0</v>
      </c>
      <c r="J267" s="197">
        <f t="shared" si="72"/>
        <v>0</v>
      </c>
      <c r="K267" s="197">
        <f t="shared" si="72"/>
        <v>0</v>
      </c>
      <c r="L267" s="197">
        <f t="shared" si="72"/>
        <v>0</v>
      </c>
      <c r="M267" s="197">
        <f t="shared" si="72"/>
        <v>0</v>
      </c>
      <c r="N267" s="318">
        <f t="shared" si="72"/>
        <v>0</v>
      </c>
      <c r="O267" s="84">
        <f t="shared" si="69"/>
        <v>0</v>
      </c>
    </row>
    <row r="268" spans="1:15" ht="10.5">
      <c r="A268" s="407" t="s">
        <v>13</v>
      </c>
      <c r="B268" s="475" t="str">
        <f>VLOOKUP(A268,Классификаторы!$A:$B,2,FALSE)</f>
        <v>Содержание и эксплуатация технологического оборудования</v>
      </c>
      <c r="C268" s="112">
        <f aca="true" t="shared" si="73" ref="C268:N268">SUM(C269:C271)</f>
        <v>0</v>
      </c>
      <c r="D268" s="112">
        <f t="shared" si="73"/>
        <v>0</v>
      </c>
      <c r="E268" s="112">
        <f t="shared" si="73"/>
        <v>0</v>
      </c>
      <c r="F268" s="112">
        <f t="shared" si="73"/>
        <v>0</v>
      </c>
      <c r="G268" s="112">
        <f t="shared" si="73"/>
        <v>0</v>
      </c>
      <c r="H268" s="112">
        <f t="shared" si="73"/>
        <v>0</v>
      </c>
      <c r="I268" s="112">
        <f t="shared" si="73"/>
        <v>0</v>
      </c>
      <c r="J268" s="112">
        <f t="shared" si="73"/>
        <v>0</v>
      </c>
      <c r="K268" s="112">
        <f t="shared" si="73"/>
        <v>0</v>
      </c>
      <c r="L268" s="112">
        <f t="shared" si="73"/>
        <v>0</v>
      </c>
      <c r="M268" s="112">
        <f t="shared" si="73"/>
        <v>0</v>
      </c>
      <c r="N268" s="370">
        <f t="shared" si="73"/>
        <v>0</v>
      </c>
      <c r="O268" s="144">
        <f t="shared" si="69"/>
        <v>0</v>
      </c>
    </row>
    <row r="269" spans="1:15" ht="10.5">
      <c r="A269" s="407" t="s">
        <v>123</v>
      </c>
      <c r="B269" s="475" t="str">
        <f>VLOOKUP(A269,Классификаторы!$A:$B,2,FALSE)</f>
        <v>Эксплуатационные материалы</v>
      </c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474"/>
      <c r="O269" s="144">
        <f t="shared" si="69"/>
        <v>0</v>
      </c>
    </row>
    <row r="270" spans="1:15" ht="10.5">
      <c r="A270" s="407" t="s">
        <v>124</v>
      </c>
      <c r="B270" s="475" t="str">
        <f>VLOOKUP(A270,Классификаторы!$A:$B,2,FALSE)</f>
        <v>ГСМ</v>
      </c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474"/>
      <c r="O270" s="144">
        <f t="shared" si="69"/>
        <v>0</v>
      </c>
    </row>
    <row r="271" spans="1:15" ht="10.5">
      <c r="A271" s="407" t="s">
        <v>125</v>
      </c>
      <c r="B271" s="475" t="str">
        <f>VLOOKUP(A271,Классификаторы!$A:$B,2,FALSE)</f>
        <v>Услуги сторонних организаций</v>
      </c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474"/>
      <c r="O271" s="144">
        <f t="shared" si="69"/>
        <v>0</v>
      </c>
    </row>
    <row r="272" spans="1:15" ht="10.5">
      <c r="A272" s="407" t="s">
        <v>14</v>
      </c>
      <c r="B272" s="475" t="str">
        <f>VLOOKUP(A272,Классификаторы!$A:$B,2,FALSE)</f>
        <v>Текущий ремонт технологического оборудования</v>
      </c>
      <c r="C272" s="112">
        <f aca="true" t="shared" si="74" ref="C272:N272">SUM(C273:C276)</f>
        <v>0</v>
      </c>
      <c r="D272" s="112">
        <f t="shared" si="74"/>
        <v>0</v>
      </c>
      <c r="E272" s="112">
        <f t="shared" si="74"/>
        <v>0</v>
      </c>
      <c r="F272" s="112">
        <f t="shared" si="74"/>
        <v>0</v>
      </c>
      <c r="G272" s="112">
        <f t="shared" si="74"/>
        <v>0</v>
      </c>
      <c r="H272" s="112">
        <f t="shared" si="74"/>
        <v>0</v>
      </c>
      <c r="I272" s="112">
        <f t="shared" si="74"/>
        <v>0</v>
      </c>
      <c r="J272" s="112">
        <f t="shared" si="74"/>
        <v>0</v>
      </c>
      <c r="K272" s="112">
        <f t="shared" si="74"/>
        <v>0</v>
      </c>
      <c r="L272" s="112">
        <f t="shared" si="74"/>
        <v>0</v>
      </c>
      <c r="M272" s="112">
        <f t="shared" si="74"/>
        <v>0</v>
      </c>
      <c r="N272" s="370">
        <f t="shared" si="74"/>
        <v>0</v>
      </c>
      <c r="O272" s="144">
        <f t="shared" si="69"/>
        <v>0</v>
      </c>
    </row>
    <row r="273" spans="1:15" ht="10.5">
      <c r="A273" s="407" t="s">
        <v>127</v>
      </c>
      <c r="B273" s="475" t="str">
        <f>VLOOKUP(A273,Классификаторы!$A:$B,2,FALSE)</f>
        <v>Зарплата рабочих РМЦ с отчислениями</v>
      </c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474"/>
      <c r="O273" s="144">
        <f t="shared" si="69"/>
        <v>0</v>
      </c>
    </row>
    <row r="274" spans="1:15" ht="10.5">
      <c r="A274" s="407" t="s">
        <v>128</v>
      </c>
      <c r="B274" s="475" t="str">
        <f>VLOOKUP(A274,Классификаторы!$A:$B,2,FALSE)</f>
        <v>Расходные материалы для ремонта</v>
      </c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474"/>
      <c r="O274" s="144">
        <f t="shared" si="69"/>
        <v>0</v>
      </c>
    </row>
    <row r="275" spans="1:15" ht="10.5">
      <c r="A275" s="407" t="s">
        <v>129</v>
      </c>
      <c r="B275" s="475" t="str">
        <f>VLOOKUP(A275,Классификаторы!$A:$B,2,FALSE)</f>
        <v>Запасные части для ремонта</v>
      </c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474"/>
      <c r="O275" s="144">
        <f t="shared" si="69"/>
        <v>0</v>
      </c>
    </row>
    <row r="276" spans="1:15" ht="10.5">
      <c r="A276" s="497" t="s">
        <v>130</v>
      </c>
      <c r="B276" s="498" t="str">
        <f>VLOOKUP(A276,Классификаторы!$A:$B,2,FALSE)</f>
        <v>Услуги сторонних организаций</v>
      </c>
      <c r="C276" s="499"/>
      <c r="D276" s="499"/>
      <c r="E276" s="499"/>
      <c r="F276" s="499"/>
      <c r="G276" s="499"/>
      <c r="H276" s="499"/>
      <c r="I276" s="499"/>
      <c r="J276" s="499"/>
      <c r="K276" s="499"/>
      <c r="L276" s="499"/>
      <c r="M276" s="499"/>
      <c r="N276" s="500"/>
      <c r="O276" s="144">
        <f t="shared" si="69"/>
        <v>0</v>
      </c>
    </row>
    <row r="277" spans="1:15" ht="10.5">
      <c r="A277" s="505"/>
      <c r="B277" s="483"/>
      <c r="C277" s="399"/>
      <c r="D277" s="399"/>
      <c r="E277" s="399"/>
      <c r="F277" s="399"/>
      <c r="G277" s="399"/>
      <c r="H277" s="399"/>
      <c r="I277" s="399"/>
      <c r="J277" s="399"/>
      <c r="K277" s="399"/>
      <c r="L277" s="399"/>
      <c r="M277" s="399"/>
      <c r="N277" s="484"/>
      <c r="O277" s="501"/>
    </row>
    <row r="278" spans="1:15" ht="10.5">
      <c r="A278" s="502" t="s">
        <v>133</v>
      </c>
      <c r="B278" s="453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320"/>
      <c r="O278" s="503"/>
    </row>
    <row r="279" spans="1:15" ht="10.5">
      <c r="A279" s="407" t="s">
        <v>13</v>
      </c>
      <c r="B279" s="473" t="str">
        <f>VLOOKUP(A279,Классификаторы!$A:$B,2,FALSE)</f>
        <v>Содержание и эксплуатация технологического оборудования</v>
      </c>
      <c r="C279" s="117">
        <f aca="true" t="shared" si="75" ref="C279:N279">C268</f>
        <v>0</v>
      </c>
      <c r="D279" s="117">
        <f t="shared" si="75"/>
        <v>0</v>
      </c>
      <c r="E279" s="117">
        <f t="shared" si="75"/>
        <v>0</v>
      </c>
      <c r="F279" s="117">
        <f t="shared" si="75"/>
        <v>0</v>
      </c>
      <c r="G279" s="117">
        <f t="shared" si="75"/>
        <v>0</v>
      </c>
      <c r="H279" s="117">
        <f t="shared" si="75"/>
        <v>0</v>
      </c>
      <c r="I279" s="117">
        <f t="shared" si="75"/>
        <v>0</v>
      </c>
      <c r="J279" s="117">
        <f t="shared" si="75"/>
        <v>0</v>
      </c>
      <c r="K279" s="117">
        <f t="shared" si="75"/>
        <v>0</v>
      </c>
      <c r="L279" s="117">
        <f t="shared" si="75"/>
        <v>0</v>
      </c>
      <c r="M279" s="117">
        <f t="shared" si="75"/>
        <v>0</v>
      </c>
      <c r="N279" s="117">
        <f t="shared" si="75"/>
        <v>0</v>
      </c>
      <c r="O279" s="319">
        <f aca="true" t="shared" si="76" ref="O279:O290">SUM(C279:N279)</f>
        <v>0</v>
      </c>
    </row>
    <row r="280" spans="1:16" ht="10.5">
      <c r="A280" s="407" t="s">
        <v>26</v>
      </c>
      <c r="B280" s="473" t="str">
        <f>VLOOKUP(A280,Классификаторы!$A:$B,2,FALSE)</f>
        <v>Цех 1</v>
      </c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474"/>
      <c r="O280" s="319">
        <f t="shared" si="76"/>
        <v>0</v>
      </c>
      <c r="P280" s="27" t="str">
        <f>CONCATENATE(A279,A280)</f>
        <v>3.1Ц_1</v>
      </c>
    </row>
    <row r="281" spans="1:16" ht="10.5">
      <c r="A281" s="407" t="s">
        <v>27</v>
      </c>
      <c r="B281" s="473" t="str">
        <f>VLOOKUP(A281,Классификаторы!$A:$B,2,FALSE)</f>
        <v>Цех 2</v>
      </c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474"/>
      <c r="O281" s="319">
        <f t="shared" si="76"/>
        <v>0</v>
      </c>
      <c r="P281" s="27" t="str">
        <f>CONCATENATE(A279,A281)</f>
        <v>3.1Ц_2</v>
      </c>
    </row>
    <row r="282" spans="1:16" ht="10.5">
      <c r="A282" s="407" t="s">
        <v>28</v>
      </c>
      <c r="B282" s="473" t="str">
        <f>VLOOKUP(A282,Классификаторы!$A:$B,2,FALSE)</f>
        <v>Цех 3</v>
      </c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474"/>
      <c r="O282" s="319">
        <f t="shared" si="76"/>
        <v>0</v>
      </c>
      <c r="P282" s="27" t="str">
        <f>CONCATENATE(A279,A282)</f>
        <v>3.1Ц_3</v>
      </c>
    </row>
    <row r="283" spans="1:16" ht="10.5">
      <c r="A283" s="407" t="s">
        <v>52</v>
      </c>
      <c r="B283" s="473" t="str">
        <f>VLOOKUP(A283,Классификаторы!$A:$B,2,FALSE)</f>
        <v>Администрация</v>
      </c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474"/>
      <c r="O283" s="319">
        <f t="shared" si="76"/>
        <v>0</v>
      </c>
      <c r="P283" s="27" t="str">
        <f>CONCATENATE(A279,A283)</f>
        <v>3.1Ц_11</v>
      </c>
    </row>
    <row r="284" spans="1:15" ht="10.5">
      <c r="A284" s="369"/>
      <c r="B284" s="490" t="s">
        <v>134</v>
      </c>
      <c r="C284" s="491">
        <f aca="true" t="shared" si="77" ref="C284:N284">C279-SUM(C280:C283)</f>
        <v>0</v>
      </c>
      <c r="D284" s="491">
        <f t="shared" si="77"/>
        <v>0</v>
      </c>
      <c r="E284" s="491">
        <f t="shared" si="77"/>
        <v>0</v>
      </c>
      <c r="F284" s="491">
        <f t="shared" si="77"/>
        <v>0</v>
      </c>
      <c r="G284" s="491">
        <f t="shared" si="77"/>
        <v>0</v>
      </c>
      <c r="H284" s="491">
        <f t="shared" si="77"/>
        <v>0</v>
      </c>
      <c r="I284" s="491">
        <f t="shared" si="77"/>
        <v>0</v>
      </c>
      <c r="J284" s="491">
        <f t="shared" si="77"/>
        <v>0</v>
      </c>
      <c r="K284" s="491">
        <f t="shared" si="77"/>
        <v>0</v>
      </c>
      <c r="L284" s="491">
        <f t="shared" si="77"/>
        <v>0</v>
      </c>
      <c r="M284" s="491">
        <f t="shared" si="77"/>
        <v>0</v>
      </c>
      <c r="N284" s="492">
        <f t="shared" si="77"/>
        <v>0</v>
      </c>
      <c r="O284" s="492">
        <f t="shared" si="76"/>
        <v>0</v>
      </c>
    </row>
    <row r="285" spans="1:15" ht="10.5">
      <c r="A285" s="407" t="s">
        <v>14</v>
      </c>
      <c r="B285" s="473" t="str">
        <f>VLOOKUP(A285,Классификаторы!$A:$B,2,FALSE)</f>
        <v>Текущий ремонт технологического оборудования</v>
      </c>
      <c r="C285" s="117">
        <f aca="true" t="shared" si="78" ref="C285:N285">C272</f>
        <v>0</v>
      </c>
      <c r="D285" s="117">
        <f t="shared" si="78"/>
        <v>0</v>
      </c>
      <c r="E285" s="117">
        <f t="shared" si="78"/>
        <v>0</v>
      </c>
      <c r="F285" s="117">
        <f t="shared" si="78"/>
        <v>0</v>
      </c>
      <c r="G285" s="117">
        <f t="shared" si="78"/>
        <v>0</v>
      </c>
      <c r="H285" s="117">
        <f t="shared" si="78"/>
        <v>0</v>
      </c>
      <c r="I285" s="117">
        <f t="shared" si="78"/>
        <v>0</v>
      </c>
      <c r="J285" s="117">
        <f t="shared" si="78"/>
        <v>0</v>
      </c>
      <c r="K285" s="117">
        <f t="shared" si="78"/>
        <v>0</v>
      </c>
      <c r="L285" s="117">
        <f t="shared" si="78"/>
        <v>0</v>
      </c>
      <c r="M285" s="117">
        <f t="shared" si="78"/>
        <v>0</v>
      </c>
      <c r="N285" s="117">
        <f t="shared" si="78"/>
        <v>0</v>
      </c>
      <c r="O285" s="319">
        <f t="shared" si="76"/>
        <v>0</v>
      </c>
    </row>
    <row r="286" spans="1:16" ht="10.5">
      <c r="A286" s="407" t="s">
        <v>26</v>
      </c>
      <c r="B286" s="473" t="str">
        <f>VLOOKUP(A286,Классификаторы!$A:$B,2,FALSE)</f>
        <v>Цех 1</v>
      </c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474"/>
      <c r="O286" s="319">
        <f t="shared" si="76"/>
        <v>0</v>
      </c>
      <c r="P286" s="27" t="str">
        <f>CONCATENATE(A285,A286)</f>
        <v>3.2Ц_1</v>
      </c>
    </row>
    <row r="287" spans="1:16" ht="10.5">
      <c r="A287" s="407" t="s">
        <v>27</v>
      </c>
      <c r="B287" s="473" t="str">
        <f>VLOOKUP(A287,Классификаторы!$A:$B,2,FALSE)</f>
        <v>Цех 2</v>
      </c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474"/>
      <c r="O287" s="319">
        <f t="shared" si="76"/>
        <v>0</v>
      </c>
      <c r="P287" s="27" t="str">
        <f>CONCATENATE(A285,A287)</f>
        <v>3.2Ц_2</v>
      </c>
    </row>
    <row r="288" spans="1:16" ht="10.5">
      <c r="A288" s="407" t="s">
        <v>28</v>
      </c>
      <c r="B288" s="473" t="str">
        <f>VLOOKUP(A288,Классификаторы!$A:$B,2,FALSE)</f>
        <v>Цех 3</v>
      </c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474"/>
      <c r="O288" s="319">
        <f t="shared" si="76"/>
        <v>0</v>
      </c>
      <c r="P288" s="27" t="str">
        <f>CONCATENATE(A285,A288)</f>
        <v>3.2Ц_3</v>
      </c>
    </row>
    <row r="289" spans="1:16" ht="10.5">
      <c r="A289" s="407" t="s">
        <v>52</v>
      </c>
      <c r="B289" s="473" t="str">
        <f>VLOOKUP(A289,Классификаторы!$A:$B,2,FALSE)</f>
        <v>Администрация</v>
      </c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474"/>
      <c r="O289" s="319">
        <f t="shared" si="76"/>
        <v>0</v>
      </c>
      <c r="P289" s="27" t="str">
        <f>CONCATENATE(A285,A289)</f>
        <v>3.2Ц_11</v>
      </c>
    </row>
    <row r="290" spans="1:15" ht="10.5">
      <c r="A290" s="493"/>
      <c r="B290" s="504" t="s">
        <v>134</v>
      </c>
      <c r="C290" s="485">
        <f aca="true" t="shared" si="79" ref="C290:N290">C285-SUM(C286:C289)</f>
        <v>0</v>
      </c>
      <c r="D290" s="485">
        <f t="shared" si="79"/>
        <v>0</v>
      </c>
      <c r="E290" s="485">
        <f t="shared" si="79"/>
        <v>0</v>
      </c>
      <c r="F290" s="485">
        <f t="shared" si="79"/>
        <v>0</v>
      </c>
      <c r="G290" s="485">
        <f t="shared" si="79"/>
        <v>0</v>
      </c>
      <c r="H290" s="485">
        <f t="shared" si="79"/>
        <v>0</v>
      </c>
      <c r="I290" s="485">
        <f t="shared" si="79"/>
        <v>0</v>
      </c>
      <c r="J290" s="485">
        <f t="shared" si="79"/>
        <v>0</v>
      </c>
      <c r="K290" s="485">
        <f t="shared" si="79"/>
        <v>0</v>
      </c>
      <c r="L290" s="485">
        <f t="shared" si="79"/>
        <v>0</v>
      </c>
      <c r="M290" s="485">
        <f t="shared" si="79"/>
        <v>0</v>
      </c>
      <c r="N290" s="486">
        <f t="shared" si="79"/>
        <v>0</v>
      </c>
      <c r="O290" s="486">
        <f t="shared" si="76"/>
        <v>0</v>
      </c>
    </row>
    <row r="293" spans="2:15" ht="13.5" thickBot="1">
      <c r="B293" s="468" t="s">
        <v>35</v>
      </c>
      <c r="C293" s="469" t="str">
        <f>VLOOKUP(B293,Классификаторы!$A:$B,2,FALSE)</f>
        <v>Цех 10</v>
      </c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79"/>
    </row>
    <row r="294" spans="1:15" ht="10.5">
      <c r="A294" s="80" t="s">
        <v>0</v>
      </c>
      <c r="B294" s="55" t="s">
        <v>132</v>
      </c>
      <c r="C294" s="56">
        <v>39448</v>
      </c>
      <c r="D294" s="56">
        <v>39479</v>
      </c>
      <c r="E294" s="56">
        <v>39508</v>
      </c>
      <c r="F294" s="56">
        <v>39539</v>
      </c>
      <c r="G294" s="56">
        <v>39569</v>
      </c>
      <c r="H294" s="56">
        <v>39600</v>
      </c>
      <c r="I294" s="56">
        <v>39630</v>
      </c>
      <c r="J294" s="56">
        <v>39661</v>
      </c>
      <c r="K294" s="56">
        <v>39692</v>
      </c>
      <c r="L294" s="56">
        <v>39722</v>
      </c>
      <c r="M294" s="56">
        <v>39753</v>
      </c>
      <c r="N294" s="56">
        <v>39783</v>
      </c>
      <c r="O294" s="340" t="s">
        <v>67</v>
      </c>
    </row>
    <row r="295" spans="1:16" ht="10.5">
      <c r="A295" s="471" t="s">
        <v>7</v>
      </c>
      <c r="B295" s="481" t="str">
        <f>VLOOKUP(A295,Классификаторы!$A:$B,2,FALSE)</f>
        <v>Цеховые затраты</v>
      </c>
      <c r="C295" s="197">
        <f aca="true" t="shared" si="80" ref="C295:N295">SUM(C296:C301,C307,C309)</f>
        <v>0</v>
      </c>
      <c r="D295" s="197">
        <f t="shared" si="80"/>
        <v>0</v>
      </c>
      <c r="E295" s="197">
        <f t="shared" si="80"/>
        <v>0</v>
      </c>
      <c r="F295" s="197">
        <f t="shared" si="80"/>
        <v>0</v>
      </c>
      <c r="G295" s="197">
        <f t="shared" si="80"/>
        <v>0</v>
      </c>
      <c r="H295" s="197">
        <f t="shared" si="80"/>
        <v>0</v>
      </c>
      <c r="I295" s="197">
        <f t="shared" si="80"/>
        <v>0</v>
      </c>
      <c r="J295" s="197">
        <f t="shared" si="80"/>
        <v>0</v>
      </c>
      <c r="K295" s="197">
        <f t="shared" si="80"/>
        <v>0</v>
      </c>
      <c r="L295" s="197">
        <f t="shared" si="80"/>
        <v>0</v>
      </c>
      <c r="M295" s="197">
        <f t="shared" si="80"/>
        <v>0</v>
      </c>
      <c r="N295" s="318">
        <f t="shared" si="80"/>
        <v>0</v>
      </c>
      <c r="O295" s="84">
        <f aca="true" t="shared" si="81" ref="O295:O319">SUM(C295:N295)</f>
        <v>0</v>
      </c>
      <c r="P295" s="34"/>
    </row>
    <row r="296" spans="1:15" ht="10.5">
      <c r="A296" s="407" t="s">
        <v>8</v>
      </c>
      <c r="B296" s="475" t="str">
        <f>VLOOKUP(A296,Классификаторы!$A:$B,2,FALSE)</f>
        <v>Амортизация зданий и сооружений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474"/>
      <c r="O296" s="144">
        <f t="shared" si="81"/>
        <v>0</v>
      </c>
    </row>
    <row r="297" spans="1:15" ht="10.5">
      <c r="A297" s="407" t="s">
        <v>9</v>
      </c>
      <c r="B297" s="475" t="str">
        <f>VLOOKUP(A297,Классификаторы!$A:$B,2,FALSE)</f>
        <v>Амортизация технологического оборудования</v>
      </c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474"/>
      <c r="O297" s="144">
        <f t="shared" si="81"/>
        <v>0</v>
      </c>
    </row>
    <row r="298" spans="1:15" ht="10.5">
      <c r="A298" s="407" t="s">
        <v>10</v>
      </c>
      <c r="B298" s="475" t="str">
        <f>VLOOKUP(A298,Классификаторы!$A:$B,2,FALSE)</f>
        <v>Затраты на охрану труда</v>
      </c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474"/>
      <c r="O298" s="144">
        <f t="shared" si="81"/>
        <v>0</v>
      </c>
    </row>
    <row r="299" spans="1:15" ht="10.5">
      <c r="A299" s="407" t="s">
        <v>11</v>
      </c>
      <c r="B299" s="475" t="str">
        <f>VLOOKUP(A299,Классификаторы!$A:$B,2,FALSE)</f>
        <v>Зарплата управления цехов с отчислениями</v>
      </c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474"/>
      <c r="O299" s="144">
        <f t="shared" si="81"/>
        <v>0</v>
      </c>
    </row>
    <row r="300" spans="1:15" ht="10.5">
      <c r="A300" s="407" t="s">
        <v>38</v>
      </c>
      <c r="B300" s="475" t="str">
        <f>VLOOKUP(A300,Классификаторы!$A:$B,2,FALSE)</f>
        <v>Прочая зарплата с отчислениями в составе цеховых затрат</v>
      </c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474"/>
      <c r="O300" s="144">
        <f t="shared" si="81"/>
        <v>0</v>
      </c>
    </row>
    <row r="301" spans="1:15" ht="10.5">
      <c r="A301" s="407" t="s">
        <v>39</v>
      </c>
      <c r="B301" s="475" t="str">
        <f>VLOOKUP(A301,Классификаторы!$A:$B,2,FALSE)</f>
        <v>Затраты на содержание зданий и сооружений</v>
      </c>
      <c r="C301" s="112">
        <f aca="true" t="shared" si="82" ref="C301:N301">SUM(C302:C306)</f>
        <v>0</v>
      </c>
      <c r="D301" s="112">
        <f t="shared" si="82"/>
        <v>0</v>
      </c>
      <c r="E301" s="112">
        <f t="shared" si="82"/>
        <v>0</v>
      </c>
      <c r="F301" s="112">
        <f t="shared" si="82"/>
        <v>0</v>
      </c>
      <c r="G301" s="112">
        <f t="shared" si="82"/>
        <v>0</v>
      </c>
      <c r="H301" s="112">
        <f t="shared" si="82"/>
        <v>0</v>
      </c>
      <c r="I301" s="112">
        <f t="shared" si="82"/>
        <v>0</v>
      </c>
      <c r="J301" s="112">
        <f t="shared" si="82"/>
        <v>0</v>
      </c>
      <c r="K301" s="112">
        <f t="shared" si="82"/>
        <v>0</v>
      </c>
      <c r="L301" s="112">
        <f t="shared" si="82"/>
        <v>0</v>
      </c>
      <c r="M301" s="112">
        <f t="shared" si="82"/>
        <v>0</v>
      </c>
      <c r="N301" s="370">
        <f t="shared" si="82"/>
        <v>0</v>
      </c>
      <c r="O301" s="144">
        <f t="shared" si="81"/>
        <v>0</v>
      </c>
    </row>
    <row r="302" spans="1:15" ht="10.5">
      <c r="A302" s="407" t="s">
        <v>106</v>
      </c>
      <c r="B302" s="475" t="str">
        <f>VLOOKUP(A302,Классификаторы!$A:$B,2,FALSE)</f>
        <v>Зарплата вспомогательных рабочих с отчислениями</v>
      </c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474"/>
      <c r="O302" s="144">
        <f t="shared" si="81"/>
        <v>0</v>
      </c>
    </row>
    <row r="303" spans="1:15" ht="10.5">
      <c r="A303" s="407" t="s">
        <v>107</v>
      </c>
      <c r="B303" s="475" t="str">
        <f>VLOOKUP(A303,Классификаторы!$A:$B,2,FALSE)</f>
        <v>Вода техническая</v>
      </c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474"/>
      <c r="O303" s="144">
        <f t="shared" si="81"/>
        <v>0</v>
      </c>
    </row>
    <row r="304" spans="1:15" ht="10.5">
      <c r="A304" s="407" t="s">
        <v>108</v>
      </c>
      <c r="B304" s="475" t="str">
        <f>VLOOKUP(A304,Классификаторы!$A:$B,2,FALSE)</f>
        <v>ТЭР в составе цеховых</v>
      </c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474"/>
      <c r="O304" s="144">
        <f t="shared" si="81"/>
        <v>0</v>
      </c>
    </row>
    <row r="305" spans="1:15" ht="10.5">
      <c r="A305" s="407" t="s">
        <v>109</v>
      </c>
      <c r="B305" s="475" t="str">
        <f>VLOOKUP(A305,Классификаторы!$A:$B,2,FALSE)</f>
        <v>Теплоэнергия в составе цеховых затрат</v>
      </c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474"/>
      <c r="O305" s="144">
        <f t="shared" si="81"/>
        <v>0</v>
      </c>
    </row>
    <row r="306" spans="1:15" ht="10.5">
      <c r="A306" s="407" t="s">
        <v>110</v>
      </c>
      <c r="B306" s="475" t="str">
        <f>VLOOKUP(A306,Классификаторы!$A:$B,2,FALSE)</f>
        <v>Услуги сторонних организаций</v>
      </c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474"/>
      <c r="O306" s="144">
        <f t="shared" si="81"/>
        <v>0</v>
      </c>
    </row>
    <row r="307" spans="1:15" ht="10.5">
      <c r="A307" s="407" t="s">
        <v>40</v>
      </c>
      <c r="B307" s="475" t="str">
        <f>VLOOKUP(A307,Классификаторы!$A:$B,2,FALSE)</f>
        <v>Текущий ремонт зданий и сооружений</v>
      </c>
      <c r="C307" s="112">
        <f aca="true" t="shared" si="83" ref="C307:N307">SUM(C308)</f>
        <v>0</v>
      </c>
      <c r="D307" s="112">
        <f t="shared" si="83"/>
        <v>0</v>
      </c>
      <c r="E307" s="112">
        <f t="shared" si="83"/>
        <v>0</v>
      </c>
      <c r="F307" s="112">
        <f t="shared" si="83"/>
        <v>0</v>
      </c>
      <c r="G307" s="112">
        <f t="shared" si="83"/>
        <v>0</v>
      </c>
      <c r="H307" s="112">
        <f t="shared" si="83"/>
        <v>0</v>
      </c>
      <c r="I307" s="112">
        <f t="shared" si="83"/>
        <v>0</v>
      </c>
      <c r="J307" s="112">
        <f t="shared" si="83"/>
        <v>0</v>
      </c>
      <c r="K307" s="112">
        <f t="shared" si="83"/>
        <v>0</v>
      </c>
      <c r="L307" s="112">
        <f t="shared" si="83"/>
        <v>0</v>
      </c>
      <c r="M307" s="112">
        <f t="shared" si="83"/>
        <v>0</v>
      </c>
      <c r="N307" s="370">
        <f t="shared" si="83"/>
        <v>0</v>
      </c>
      <c r="O307" s="144">
        <f t="shared" si="81"/>
        <v>0</v>
      </c>
    </row>
    <row r="308" spans="1:15" ht="10.5">
      <c r="A308" s="407" t="s">
        <v>112</v>
      </c>
      <c r="B308" s="475" t="str">
        <f>VLOOKUP(A308,Классификаторы!$A:$B,2,FALSE)</f>
        <v>Услуги сторонних организаций</v>
      </c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474"/>
      <c r="O308" s="144">
        <f t="shared" si="81"/>
        <v>0</v>
      </c>
    </row>
    <row r="309" spans="1:15" ht="10.5">
      <c r="A309" s="476" t="s">
        <v>41</v>
      </c>
      <c r="B309" s="480" t="str">
        <f>VLOOKUP(A309,Классификаторы!$A:$B,2,FALSE)</f>
        <v>Прочие затраты</v>
      </c>
      <c r="C309" s="478"/>
      <c r="D309" s="478"/>
      <c r="E309" s="478"/>
      <c r="F309" s="478"/>
      <c r="G309" s="478"/>
      <c r="H309" s="478"/>
      <c r="I309" s="478"/>
      <c r="J309" s="478"/>
      <c r="K309" s="478"/>
      <c r="L309" s="478"/>
      <c r="M309" s="478"/>
      <c r="N309" s="479"/>
      <c r="O309" s="144">
        <f t="shared" si="81"/>
        <v>0</v>
      </c>
    </row>
    <row r="310" spans="1:15" ht="10.5">
      <c r="A310" s="471" t="s">
        <v>12</v>
      </c>
      <c r="B310" s="481" t="str">
        <f>VLOOKUP(A310,Классификаторы!$A:$B,2,FALSE)</f>
        <v>Затраты на ремонт и содержание оборудования</v>
      </c>
      <c r="C310" s="197">
        <f aca="true" t="shared" si="84" ref="C310:N310">SUM(C311,C315)</f>
        <v>0</v>
      </c>
      <c r="D310" s="197">
        <f t="shared" si="84"/>
        <v>0</v>
      </c>
      <c r="E310" s="197">
        <f t="shared" si="84"/>
        <v>0</v>
      </c>
      <c r="F310" s="197">
        <f t="shared" si="84"/>
        <v>0</v>
      </c>
      <c r="G310" s="197">
        <f t="shared" si="84"/>
        <v>0</v>
      </c>
      <c r="H310" s="197">
        <f t="shared" si="84"/>
        <v>0</v>
      </c>
      <c r="I310" s="197">
        <f t="shared" si="84"/>
        <v>0</v>
      </c>
      <c r="J310" s="197">
        <f t="shared" si="84"/>
        <v>0</v>
      </c>
      <c r="K310" s="197">
        <f t="shared" si="84"/>
        <v>0</v>
      </c>
      <c r="L310" s="197">
        <f t="shared" si="84"/>
        <v>0</v>
      </c>
      <c r="M310" s="197">
        <f t="shared" si="84"/>
        <v>0</v>
      </c>
      <c r="N310" s="318">
        <f t="shared" si="84"/>
        <v>0</v>
      </c>
      <c r="O310" s="84">
        <f t="shared" si="81"/>
        <v>0</v>
      </c>
    </row>
    <row r="311" spans="1:15" ht="10.5">
      <c r="A311" s="407" t="s">
        <v>13</v>
      </c>
      <c r="B311" s="475" t="str">
        <f>VLOOKUP(A311,Классификаторы!$A:$B,2,FALSE)</f>
        <v>Содержание и эксплуатация технологического оборудования</v>
      </c>
      <c r="C311" s="112">
        <f aca="true" t="shared" si="85" ref="C311:N311">SUM(C312:C314)</f>
        <v>0</v>
      </c>
      <c r="D311" s="112">
        <f t="shared" si="85"/>
        <v>0</v>
      </c>
      <c r="E311" s="112">
        <f t="shared" si="85"/>
        <v>0</v>
      </c>
      <c r="F311" s="112">
        <f t="shared" si="85"/>
        <v>0</v>
      </c>
      <c r="G311" s="112">
        <f t="shared" si="85"/>
        <v>0</v>
      </c>
      <c r="H311" s="112">
        <f t="shared" si="85"/>
        <v>0</v>
      </c>
      <c r="I311" s="112">
        <f t="shared" si="85"/>
        <v>0</v>
      </c>
      <c r="J311" s="112">
        <f t="shared" si="85"/>
        <v>0</v>
      </c>
      <c r="K311" s="112">
        <f t="shared" si="85"/>
        <v>0</v>
      </c>
      <c r="L311" s="112">
        <f t="shared" si="85"/>
        <v>0</v>
      </c>
      <c r="M311" s="112">
        <f t="shared" si="85"/>
        <v>0</v>
      </c>
      <c r="N311" s="370">
        <f t="shared" si="85"/>
        <v>0</v>
      </c>
      <c r="O311" s="144">
        <f t="shared" si="81"/>
        <v>0</v>
      </c>
    </row>
    <row r="312" spans="1:15" ht="10.5">
      <c r="A312" s="407" t="s">
        <v>123</v>
      </c>
      <c r="B312" s="475" t="str">
        <f>VLOOKUP(A312,Классификаторы!$A:$B,2,FALSE)</f>
        <v>Эксплуатационные материалы</v>
      </c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474"/>
      <c r="O312" s="144">
        <f t="shared" si="81"/>
        <v>0</v>
      </c>
    </row>
    <row r="313" spans="1:15" ht="10.5">
      <c r="A313" s="407" t="s">
        <v>124</v>
      </c>
      <c r="B313" s="475" t="str">
        <f>VLOOKUP(A313,Классификаторы!$A:$B,2,FALSE)</f>
        <v>ГСМ</v>
      </c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474"/>
      <c r="O313" s="144">
        <f t="shared" si="81"/>
        <v>0</v>
      </c>
    </row>
    <row r="314" spans="1:15" ht="10.5">
      <c r="A314" s="407" t="s">
        <v>125</v>
      </c>
      <c r="B314" s="475" t="str">
        <f>VLOOKUP(A314,Классификаторы!$A:$B,2,FALSE)</f>
        <v>Услуги сторонних организаций</v>
      </c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474"/>
      <c r="O314" s="144">
        <f t="shared" si="81"/>
        <v>0</v>
      </c>
    </row>
    <row r="315" spans="1:15" ht="10.5">
      <c r="A315" s="407" t="s">
        <v>14</v>
      </c>
      <c r="B315" s="475" t="str">
        <f>VLOOKUP(A315,Классификаторы!$A:$B,2,FALSE)</f>
        <v>Текущий ремонт технологического оборудования</v>
      </c>
      <c r="C315" s="112">
        <f aca="true" t="shared" si="86" ref="C315:N315">SUM(C316:C319)</f>
        <v>0</v>
      </c>
      <c r="D315" s="112">
        <f t="shared" si="86"/>
        <v>0</v>
      </c>
      <c r="E315" s="112">
        <f t="shared" si="86"/>
        <v>0</v>
      </c>
      <c r="F315" s="112">
        <f t="shared" si="86"/>
        <v>0</v>
      </c>
      <c r="G315" s="112">
        <f t="shared" si="86"/>
        <v>0</v>
      </c>
      <c r="H315" s="112">
        <f t="shared" si="86"/>
        <v>0</v>
      </c>
      <c r="I315" s="112">
        <f t="shared" si="86"/>
        <v>0</v>
      </c>
      <c r="J315" s="112">
        <f t="shared" si="86"/>
        <v>0</v>
      </c>
      <c r="K315" s="112">
        <f t="shared" si="86"/>
        <v>0</v>
      </c>
      <c r="L315" s="112">
        <f t="shared" si="86"/>
        <v>0</v>
      </c>
      <c r="M315" s="112">
        <f t="shared" si="86"/>
        <v>0</v>
      </c>
      <c r="N315" s="370">
        <f t="shared" si="86"/>
        <v>0</v>
      </c>
      <c r="O315" s="144">
        <f t="shared" si="81"/>
        <v>0</v>
      </c>
    </row>
    <row r="316" spans="1:15" ht="10.5">
      <c r="A316" s="407" t="s">
        <v>127</v>
      </c>
      <c r="B316" s="475" t="str">
        <f>VLOOKUP(A316,Классификаторы!$A:$B,2,FALSE)</f>
        <v>Зарплата рабочих РМЦ с отчислениями</v>
      </c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474"/>
      <c r="O316" s="144">
        <f t="shared" si="81"/>
        <v>0</v>
      </c>
    </row>
    <row r="317" spans="1:15" ht="10.5">
      <c r="A317" s="407" t="s">
        <v>128</v>
      </c>
      <c r="B317" s="475" t="str">
        <f>VLOOKUP(A317,Классификаторы!$A:$B,2,FALSE)</f>
        <v>Расходные материалы для ремонта</v>
      </c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474"/>
      <c r="O317" s="144">
        <f t="shared" si="81"/>
        <v>0</v>
      </c>
    </row>
    <row r="318" spans="1:15" ht="10.5">
      <c r="A318" s="407" t="s">
        <v>129</v>
      </c>
      <c r="B318" s="475" t="str">
        <f>VLOOKUP(A318,Классификаторы!$A:$B,2,FALSE)</f>
        <v>Запасные части для ремонта</v>
      </c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474"/>
      <c r="O318" s="144">
        <f t="shared" si="81"/>
        <v>0</v>
      </c>
    </row>
    <row r="319" spans="1:15" ht="10.5">
      <c r="A319" s="497" t="s">
        <v>130</v>
      </c>
      <c r="B319" s="498" t="str">
        <f>VLOOKUP(A319,Классификаторы!$A:$B,2,FALSE)</f>
        <v>Услуги сторонних организаций</v>
      </c>
      <c r="C319" s="499"/>
      <c r="D319" s="499"/>
      <c r="E319" s="499"/>
      <c r="F319" s="499"/>
      <c r="G319" s="499"/>
      <c r="H319" s="499"/>
      <c r="I319" s="499"/>
      <c r="J319" s="499"/>
      <c r="K319" s="499"/>
      <c r="L319" s="499"/>
      <c r="M319" s="499"/>
      <c r="N319" s="500"/>
      <c r="O319" s="144">
        <f t="shared" si="81"/>
        <v>0</v>
      </c>
    </row>
    <row r="320" spans="1:15" ht="10.5">
      <c r="A320" s="487"/>
      <c r="B320" s="141"/>
      <c r="C320" s="399"/>
      <c r="D320" s="399"/>
      <c r="E320" s="399"/>
      <c r="F320" s="399"/>
      <c r="G320" s="399"/>
      <c r="H320" s="399"/>
      <c r="I320" s="399"/>
      <c r="J320" s="399"/>
      <c r="K320" s="399"/>
      <c r="L320" s="399"/>
      <c r="M320" s="399"/>
      <c r="N320" s="484"/>
      <c r="O320" s="501"/>
    </row>
    <row r="321" spans="1:15" s="45" customFormat="1" ht="10.5">
      <c r="A321" s="385" t="s">
        <v>133</v>
      </c>
      <c r="B321" s="254"/>
      <c r="C321" s="254"/>
      <c r="D321" s="254"/>
      <c r="E321" s="254"/>
      <c r="F321" s="254"/>
      <c r="G321" s="254"/>
      <c r="H321" s="254"/>
      <c r="I321" s="254"/>
      <c r="J321" s="254"/>
      <c r="K321" s="254"/>
      <c r="L321" s="254"/>
      <c r="M321" s="254"/>
      <c r="N321" s="265"/>
      <c r="O321" s="387"/>
    </row>
    <row r="322" spans="1:15" ht="10.5">
      <c r="A322" s="407" t="s">
        <v>13</v>
      </c>
      <c r="B322" s="473" t="str">
        <f>VLOOKUP(A322,Классификаторы!$A:$B,2,FALSE)</f>
        <v>Содержание и эксплуатация технологического оборудования</v>
      </c>
      <c r="C322" s="117">
        <f aca="true" t="shared" si="87" ref="C322:N322">C311</f>
        <v>0</v>
      </c>
      <c r="D322" s="117">
        <f t="shared" si="87"/>
        <v>0</v>
      </c>
      <c r="E322" s="117">
        <f t="shared" si="87"/>
        <v>0</v>
      </c>
      <c r="F322" s="117">
        <f t="shared" si="87"/>
        <v>0</v>
      </c>
      <c r="G322" s="117">
        <f t="shared" si="87"/>
        <v>0</v>
      </c>
      <c r="H322" s="117">
        <f t="shared" si="87"/>
        <v>0</v>
      </c>
      <c r="I322" s="117">
        <f t="shared" si="87"/>
        <v>0</v>
      </c>
      <c r="J322" s="117">
        <f t="shared" si="87"/>
        <v>0</v>
      </c>
      <c r="K322" s="117">
        <f t="shared" si="87"/>
        <v>0</v>
      </c>
      <c r="L322" s="117">
        <f t="shared" si="87"/>
        <v>0</v>
      </c>
      <c r="M322" s="117">
        <f t="shared" si="87"/>
        <v>0</v>
      </c>
      <c r="N322" s="117">
        <f t="shared" si="87"/>
        <v>0</v>
      </c>
      <c r="O322" s="319">
        <f aca="true" t="shared" si="88" ref="O322:O333">SUM(C322:N322)</f>
        <v>0</v>
      </c>
    </row>
    <row r="323" spans="1:16" ht="10.5">
      <c r="A323" s="407" t="s">
        <v>26</v>
      </c>
      <c r="B323" s="473" t="str">
        <f>VLOOKUP(A323,Классификаторы!$A:$B,2,FALSE)</f>
        <v>Цех 1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474"/>
      <c r="O323" s="319">
        <f t="shared" si="88"/>
        <v>0</v>
      </c>
      <c r="P323" s="27" t="str">
        <f>CONCATENATE(A322,A323)</f>
        <v>3.1Ц_1</v>
      </c>
    </row>
    <row r="324" spans="1:16" ht="10.5">
      <c r="A324" s="407" t="s">
        <v>27</v>
      </c>
      <c r="B324" s="473" t="str">
        <f>VLOOKUP(A324,Классификаторы!$A:$B,2,FALSE)</f>
        <v>Цех 2</v>
      </c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474"/>
      <c r="O324" s="319">
        <f t="shared" si="88"/>
        <v>0</v>
      </c>
      <c r="P324" s="27" t="str">
        <f>CONCATENATE(A322,A324)</f>
        <v>3.1Ц_2</v>
      </c>
    </row>
    <row r="325" spans="1:16" ht="10.5">
      <c r="A325" s="407" t="s">
        <v>28</v>
      </c>
      <c r="B325" s="473" t="str">
        <f>VLOOKUP(A325,Классификаторы!$A:$B,2,FALSE)</f>
        <v>Цех 3</v>
      </c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474"/>
      <c r="O325" s="319">
        <f t="shared" si="88"/>
        <v>0</v>
      </c>
      <c r="P325" s="27" t="str">
        <f>CONCATENATE(A322,A325)</f>
        <v>3.1Ц_3</v>
      </c>
    </row>
    <row r="326" spans="1:16" ht="10.5">
      <c r="A326" s="407" t="s">
        <v>52</v>
      </c>
      <c r="B326" s="473" t="str">
        <f>VLOOKUP(A326,Классификаторы!$A:$B,2,FALSE)</f>
        <v>Администрация</v>
      </c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474"/>
      <c r="O326" s="319">
        <f t="shared" si="88"/>
        <v>0</v>
      </c>
      <c r="P326" s="27" t="str">
        <f>CONCATENATE(A322,A326)</f>
        <v>3.1Ц_11</v>
      </c>
    </row>
    <row r="327" spans="1:15" ht="10.5">
      <c r="A327" s="369"/>
      <c r="B327" s="490" t="s">
        <v>134</v>
      </c>
      <c r="C327" s="491">
        <f aca="true" t="shared" si="89" ref="C327:N327">C322-SUM(C323:C326)</f>
        <v>0</v>
      </c>
      <c r="D327" s="491">
        <f t="shared" si="89"/>
        <v>0</v>
      </c>
      <c r="E327" s="491">
        <f t="shared" si="89"/>
        <v>0</v>
      </c>
      <c r="F327" s="491">
        <f t="shared" si="89"/>
        <v>0</v>
      </c>
      <c r="G327" s="491">
        <f t="shared" si="89"/>
        <v>0</v>
      </c>
      <c r="H327" s="491">
        <f t="shared" si="89"/>
        <v>0</v>
      </c>
      <c r="I327" s="491">
        <f t="shared" si="89"/>
        <v>0</v>
      </c>
      <c r="J327" s="491">
        <f t="shared" si="89"/>
        <v>0</v>
      </c>
      <c r="K327" s="491">
        <f t="shared" si="89"/>
        <v>0</v>
      </c>
      <c r="L327" s="491">
        <f t="shared" si="89"/>
        <v>0</v>
      </c>
      <c r="M327" s="491">
        <f t="shared" si="89"/>
        <v>0</v>
      </c>
      <c r="N327" s="492">
        <f t="shared" si="89"/>
        <v>0</v>
      </c>
      <c r="O327" s="492">
        <f t="shared" si="88"/>
        <v>0</v>
      </c>
    </row>
    <row r="328" spans="1:15" ht="10.5">
      <c r="A328" s="407" t="s">
        <v>14</v>
      </c>
      <c r="B328" s="473" t="str">
        <f>VLOOKUP(A328,Классификаторы!$A:$B,2,FALSE)</f>
        <v>Текущий ремонт технологического оборудования</v>
      </c>
      <c r="C328" s="117">
        <f aca="true" t="shared" si="90" ref="C328:N328">C315</f>
        <v>0</v>
      </c>
      <c r="D328" s="117">
        <f t="shared" si="90"/>
        <v>0</v>
      </c>
      <c r="E328" s="117">
        <f t="shared" si="90"/>
        <v>0</v>
      </c>
      <c r="F328" s="117">
        <f t="shared" si="90"/>
        <v>0</v>
      </c>
      <c r="G328" s="117">
        <f t="shared" si="90"/>
        <v>0</v>
      </c>
      <c r="H328" s="117">
        <f t="shared" si="90"/>
        <v>0</v>
      </c>
      <c r="I328" s="117">
        <f t="shared" si="90"/>
        <v>0</v>
      </c>
      <c r="J328" s="117">
        <f t="shared" si="90"/>
        <v>0</v>
      </c>
      <c r="K328" s="117">
        <f t="shared" si="90"/>
        <v>0</v>
      </c>
      <c r="L328" s="117">
        <f t="shared" si="90"/>
        <v>0</v>
      </c>
      <c r="M328" s="117">
        <f t="shared" si="90"/>
        <v>0</v>
      </c>
      <c r="N328" s="117">
        <f t="shared" si="90"/>
        <v>0</v>
      </c>
      <c r="O328" s="319">
        <f t="shared" si="88"/>
        <v>0</v>
      </c>
    </row>
    <row r="329" spans="1:16" ht="10.5">
      <c r="A329" s="407" t="s">
        <v>26</v>
      </c>
      <c r="B329" s="473" t="str">
        <f>VLOOKUP(A329,Классификаторы!$A:$B,2,FALSE)</f>
        <v>Цех 1</v>
      </c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474"/>
      <c r="O329" s="319">
        <f t="shared" si="88"/>
        <v>0</v>
      </c>
      <c r="P329" s="27" t="str">
        <f>CONCATENATE(A328,A329)</f>
        <v>3.2Ц_1</v>
      </c>
    </row>
    <row r="330" spans="1:16" ht="10.5">
      <c r="A330" s="407" t="s">
        <v>27</v>
      </c>
      <c r="B330" s="473" t="str">
        <f>VLOOKUP(A330,Классификаторы!$A:$B,2,FALSE)</f>
        <v>Цех 2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474"/>
      <c r="O330" s="319">
        <f t="shared" si="88"/>
        <v>0</v>
      </c>
      <c r="P330" s="27" t="str">
        <f>CONCATENATE(A328,A330)</f>
        <v>3.2Ц_2</v>
      </c>
    </row>
    <row r="331" spans="1:16" ht="10.5">
      <c r="A331" s="407" t="s">
        <v>28</v>
      </c>
      <c r="B331" s="473" t="str">
        <f>VLOOKUP(A331,Классификаторы!$A:$B,2,FALSE)</f>
        <v>Цех 3</v>
      </c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474"/>
      <c r="O331" s="319">
        <f t="shared" si="88"/>
        <v>0</v>
      </c>
      <c r="P331" s="27" t="str">
        <f>CONCATENATE(A328,A331)</f>
        <v>3.2Ц_3</v>
      </c>
    </row>
    <row r="332" spans="1:16" ht="10.5">
      <c r="A332" s="407" t="s">
        <v>52</v>
      </c>
      <c r="B332" s="473" t="str">
        <f>VLOOKUP(A332,Классификаторы!$A:$B,2,FALSE)</f>
        <v>Администрация</v>
      </c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474"/>
      <c r="O332" s="319">
        <f t="shared" si="88"/>
        <v>0</v>
      </c>
      <c r="P332" s="27" t="str">
        <f>CONCATENATE(A328,A332)</f>
        <v>3.2Ц_11</v>
      </c>
    </row>
    <row r="333" spans="1:15" ht="10.5">
      <c r="A333" s="493"/>
      <c r="B333" s="504" t="s">
        <v>134</v>
      </c>
      <c r="C333" s="485">
        <f aca="true" t="shared" si="91" ref="C333:N333">C328-SUM(C329:C332)</f>
        <v>0</v>
      </c>
      <c r="D333" s="485">
        <f t="shared" si="91"/>
        <v>0</v>
      </c>
      <c r="E333" s="485">
        <f t="shared" si="91"/>
        <v>0</v>
      </c>
      <c r="F333" s="485">
        <f t="shared" si="91"/>
        <v>0</v>
      </c>
      <c r="G333" s="485">
        <f t="shared" si="91"/>
        <v>0</v>
      </c>
      <c r="H333" s="485">
        <f t="shared" si="91"/>
        <v>0</v>
      </c>
      <c r="I333" s="485">
        <f t="shared" si="91"/>
        <v>0</v>
      </c>
      <c r="J333" s="485">
        <f t="shared" si="91"/>
        <v>0</v>
      </c>
      <c r="K333" s="485">
        <f t="shared" si="91"/>
        <v>0</v>
      </c>
      <c r="L333" s="485">
        <f t="shared" si="91"/>
        <v>0</v>
      </c>
      <c r="M333" s="485">
        <f t="shared" si="91"/>
        <v>0</v>
      </c>
      <c r="N333" s="486">
        <f t="shared" si="91"/>
        <v>0</v>
      </c>
      <c r="O333" s="486">
        <f t="shared" si="88"/>
        <v>0</v>
      </c>
    </row>
  </sheetData>
  <printOptions/>
  <pageMargins left="0.75" right="0.75" top="0.68" bottom="1.29" header="0.5" footer="0.5"/>
  <pageSetup fitToHeight="5" fitToWidth="1" horizontalDpi="300" verticalDpi="300" orientation="landscape" paperSize="9" scale="64" r:id="rId2"/>
  <headerFooter alignWithMargins="0">
    <oddHeader>&amp;LФинансовая бюджетная модель (производство)</oddHeader>
    <oddFooter>&amp;LСтраница &amp;P&amp;C&amp;G</oddFooter>
  </headerFooter>
  <rowBreaks count="4" manualBreakCount="4">
    <brk id="64" max="255" man="1"/>
    <brk id="125" max="255" man="1"/>
    <brk id="208" max="255" man="1"/>
    <brk id="292" max="255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1"/>
  <sheetViews>
    <sheetView view="pageBreakPreview" zoomScale="115" zoomScaleSheetLayoutView="11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625" style="27" customWidth="1"/>
    <col min="2" max="2" width="34.75390625" style="27" customWidth="1"/>
    <col min="3" max="3" width="13.75390625" style="27" customWidth="1"/>
    <col min="4" max="15" width="12.375" style="27" bestFit="1" customWidth="1"/>
    <col min="16" max="16384" width="9.125" style="27" customWidth="1"/>
  </cols>
  <sheetData>
    <row r="1" spans="1:15" ht="18">
      <c r="A1" s="608"/>
      <c r="C1" s="96" t="s">
        <v>334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9"/>
    </row>
    <row r="2" spans="1:15" ht="10.5">
      <c r="A2" s="3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79"/>
    </row>
    <row r="3" spans="1:15" ht="13.5" thickBot="1">
      <c r="A3" s="77" t="s">
        <v>44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9"/>
    </row>
    <row r="4" spans="1:15" ht="10.5">
      <c r="A4" s="121" t="s">
        <v>0</v>
      </c>
      <c r="B4" s="122" t="s">
        <v>132</v>
      </c>
      <c r="C4" s="123">
        <v>39448</v>
      </c>
      <c r="D4" s="123">
        <v>39479</v>
      </c>
      <c r="E4" s="123">
        <v>39508</v>
      </c>
      <c r="F4" s="123">
        <v>39539</v>
      </c>
      <c r="G4" s="123">
        <v>39569</v>
      </c>
      <c r="H4" s="123">
        <v>39600</v>
      </c>
      <c r="I4" s="123">
        <v>39630</v>
      </c>
      <c r="J4" s="123">
        <v>39661</v>
      </c>
      <c r="K4" s="123">
        <v>39692</v>
      </c>
      <c r="L4" s="123">
        <v>39722</v>
      </c>
      <c r="M4" s="123">
        <v>39753</v>
      </c>
      <c r="N4" s="123">
        <v>39783</v>
      </c>
      <c r="O4" s="340" t="s">
        <v>67</v>
      </c>
    </row>
    <row r="5" spans="1:15" s="34" customFormat="1" ht="10.5">
      <c r="A5" s="471" t="s">
        <v>15</v>
      </c>
      <c r="B5" s="472" t="str">
        <f>VLOOKUP(A5,Классификаторы!$A:$B,2,FALSE)</f>
        <v>Административные расходы</v>
      </c>
      <c r="C5" s="197">
        <f>SUM(C6:C10)</f>
        <v>0</v>
      </c>
      <c r="D5" s="197">
        <f aca="true" t="shared" si="0" ref="D5:N5">SUM(D6:D10)</f>
        <v>0</v>
      </c>
      <c r="E5" s="197">
        <f t="shared" si="0"/>
        <v>0</v>
      </c>
      <c r="F5" s="197">
        <f t="shared" si="0"/>
        <v>0</v>
      </c>
      <c r="G5" s="197">
        <f t="shared" si="0"/>
        <v>0</v>
      </c>
      <c r="H5" s="197">
        <f t="shared" si="0"/>
        <v>0</v>
      </c>
      <c r="I5" s="197">
        <f t="shared" si="0"/>
        <v>0</v>
      </c>
      <c r="J5" s="197">
        <f t="shared" si="0"/>
        <v>0</v>
      </c>
      <c r="K5" s="197">
        <f t="shared" si="0"/>
        <v>0</v>
      </c>
      <c r="L5" s="197">
        <f t="shared" si="0"/>
        <v>0</v>
      </c>
      <c r="M5" s="197">
        <f t="shared" si="0"/>
        <v>0</v>
      </c>
      <c r="N5" s="318">
        <f t="shared" si="0"/>
        <v>0</v>
      </c>
      <c r="O5" s="192">
        <f aca="true" t="shared" si="1" ref="O5:O11">SUM(C5:N5)</f>
        <v>0</v>
      </c>
    </row>
    <row r="6" spans="1:15" ht="10.5">
      <c r="A6" s="407" t="s">
        <v>17</v>
      </c>
      <c r="B6" s="473" t="str">
        <f>VLOOKUP(A6,Классификаторы!$A:$B,2,FALSE)</f>
        <v>Амортизация прочего имущества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474"/>
      <c r="O6" s="194">
        <f t="shared" si="1"/>
        <v>0</v>
      </c>
    </row>
    <row r="7" spans="1:15" ht="10.5">
      <c r="A7" s="407" t="s">
        <v>19</v>
      </c>
      <c r="B7" s="473" t="str">
        <f>VLOOKUP(A7,Классификаторы!$A:$B,2,FALSE)</f>
        <v>ТЭР в составе административных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474"/>
      <c r="O7" s="194">
        <f t="shared" si="1"/>
        <v>0</v>
      </c>
    </row>
    <row r="8" spans="1:15" ht="10.5">
      <c r="A8" s="407" t="s">
        <v>20</v>
      </c>
      <c r="B8" s="473" t="str">
        <f>VLOOKUP(A8,Классификаторы!$A:$B,2,FALSE)</f>
        <v>Заpаботная плата аппарата управления с отчислениями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474"/>
      <c r="O8" s="194">
        <f t="shared" si="1"/>
        <v>0</v>
      </c>
    </row>
    <row r="9" spans="1:15" ht="10.5">
      <c r="A9" s="407" t="s">
        <v>21</v>
      </c>
      <c r="B9" s="473" t="str">
        <f>VLOOKUP(A9,Классификаторы!$A:$B,2,FALSE)</f>
        <v>Услуги вычислительного центра</v>
      </c>
      <c r="C9" s="112">
        <f>'Общепроизвод расходы'!C326+'Общепроизвод расходы'!C332</f>
        <v>0</v>
      </c>
      <c r="D9" s="112">
        <f>'Общепроизвод расходы'!D326+'Общепроизвод расходы'!D332</f>
        <v>0</v>
      </c>
      <c r="E9" s="112">
        <f>'Общепроизвод расходы'!E326+'Общепроизвод расходы'!E332</f>
        <v>0</v>
      </c>
      <c r="F9" s="112">
        <f>'Общепроизвод расходы'!F326+'Общепроизвод расходы'!F332</f>
        <v>0</v>
      </c>
      <c r="G9" s="112">
        <f>'Общепроизвод расходы'!G326+'Общепроизвод расходы'!G332</f>
        <v>0</v>
      </c>
      <c r="H9" s="112">
        <f>'Общепроизвод расходы'!H326+'Общепроизвод расходы'!H332</f>
        <v>0</v>
      </c>
      <c r="I9" s="112">
        <f>'Общепроизвод расходы'!I326+'Общепроизвод расходы'!I332</f>
        <v>0</v>
      </c>
      <c r="J9" s="112">
        <f>'Общепроизвод расходы'!J326+'Общепроизвод расходы'!J332</f>
        <v>0</v>
      </c>
      <c r="K9" s="112">
        <f>'Общепроизвод расходы'!K326+'Общепроизвод расходы'!K332</f>
        <v>0</v>
      </c>
      <c r="L9" s="112">
        <f>'Общепроизвод расходы'!L326+'Общепроизвод расходы'!L332</f>
        <v>0</v>
      </c>
      <c r="M9" s="112">
        <f>'Общепроизвод расходы'!M326+'Общепроизвод расходы'!M332</f>
        <v>0</v>
      </c>
      <c r="N9" s="370">
        <f>'Общепроизвод расходы'!N326+'Общепроизвод расходы'!N332</f>
        <v>0</v>
      </c>
      <c r="O9" s="194">
        <f t="shared" si="1"/>
        <v>0</v>
      </c>
    </row>
    <row r="10" spans="1:15" ht="10.5">
      <c r="A10" s="407" t="s">
        <v>22</v>
      </c>
      <c r="B10" s="473" t="str">
        <f>VLOOKUP(A10,Классификаторы!$A:$B,2,FALSE)</f>
        <v>Услуги транспортного цеха</v>
      </c>
      <c r="C10" s="112">
        <f>'Общепроизвод расходы'!C283+'Общепроизвод расходы'!C289</f>
        <v>0</v>
      </c>
      <c r="D10" s="112">
        <f>'Общепроизвод расходы'!D283+'Общепроизвод расходы'!D289</f>
        <v>0</v>
      </c>
      <c r="E10" s="112">
        <f>'Общепроизвод расходы'!E283+'Общепроизвод расходы'!E289</f>
        <v>0</v>
      </c>
      <c r="F10" s="112">
        <f>'Общепроизвод расходы'!F283+'Общепроизвод расходы'!F289</f>
        <v>0</v>
      </c>
      <c r="G10" s="112">
        <f>'Общепроизвод расходы'!G283+'Общепроизвод расходы'!G289</f>
        <v>0</v>
      </c>
      <c r="H10" s="112">
        <f>'Общепроизвод расходы'!H283+'Общепроизвод расходы'!H289</f>
        <v>0</v>
      </c>
      <c r="I10" s="112">
        <f>'Общепроизвод расходы'!I283+'Общепроизвод расходы'!I289</f>
        <v>0</v>
      </c>
      <c r="J10" s="112">
        <f>'Общепроизвод расходы'!J283+'Общепроизвод расходы'!J289</f>
        <v>0</v>
      </c>
      <c r="K10" s="112">
        <f>'Общепроизвод расходы'!K283+'Общепроизвод расходы'!K289</f>
        <v>0</v>
      </c>
      <c r="L10" s="112">
        <f>'Общепроизвод расходы'!L283+'Общепроизвод расходы'!L289</f>
        <v>0</v>
      </c>
      <c r="M10" s="112">
        <f>'Общепроизвод расходы'!M283+'Общепроизвод расходы'!M289</f>
        <v>0</v>
      </c>
      <c r="N10" s="370">
        <f>'Общепроизвод расходы'!N283+'Общепроизвод расходы'!N289</f>
        <v>0</v>
      </c>
      <c r="O10" s="194">
        <f t="shared" si="1"/>
        <v>0</v>
      </c>
    </row>
    <row r="11" spans="1:15" ht="10.5">
      <c r="A11" s="476" t="s">
        <v>246</v>
      </c>
      <c r="B11" s="477" t="str">
        <f>VLOOKUP(A11,Классификаторы!$A:$B,2,FALSE)</f>
        <v>Прочие административные расходы</v>
      </c>
      <c r="C11" s="478">
        <v>0</v>
      </c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7"/>
      <c r="O11" s="367">
        <f t="shared" si="1"/>
        <v>0</v>
      </c>
    </row>
    <row r="13" spans="1:15" ht="13.5" thickBot="1">
      <c r="A13" s="77" t="s">
        <v>16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79"/>
    </row>
    <row r="14" spans="1:15" ht="10.5">
      <c r="A14" s="80" t="s">
        <v>0</v>
      </c>
      <c r="B14" s="55" t="s">
        <v>132</v>
      </c>
      <c r="C14" s="56">
        <v>39448</v>
      </c>
      <c r="D14" s="56">
        <v>39479</v>
      </c>
      <c r="E14" s="56">
        <v>39508</v>
      </c>
      <c r="F14" s="56">
        <v>39539</v>
      </c>
      <c r="G14" s="56">
        <v>39569</v>
      </c>
      <c r="H14" s="56">
        <v>39600</v>
      </c>
      <c r="I14" s="56">
        <v>39630</v>
      </c>
      <c r="J14" s="56">
        <v>39661</v>
      </c>
      <c r="K14" s="56">
        <v>39692</v>
      </c>
      <c r="L14" s="56">
        <v>39722</v>
      </c>
      <c r="M14" s="56">
        <v>39753</v>
      </c>
      <c r="N14" s="56">
        <v>39783</v>
      </c>
      <c r="O14" s="340" t="s">
        <v>67</v>
      </c>
    </row>
    <row r="15" spans="1:15" s="34" customFormat="1" ht="10.5">
      <c r="A15" s="471" t="s">
        <v>115</v>
      </c>
      <c r="B15" s="472" t="str">
        <f>VLOOKUP(A15,Классификаторы!$A:$B,2,FALSE)</f>
        <v>Коммерческие расходы</v>
      </c>
      <c r="C15" s="197">
        <f aca="true" t="shared" si="2" ref="C15:N15">SUM(C16:C20)</f>
        <v>0</v>
      </c>
      <c r="D15" s="197">
        <f t="shared" si="2"/>
        <v>0</v>
      </c>
      <c r="E15" s="197">
        <f t="shared" si="2"/>
        <v>0</v>
      </c>
      <c r="F15" s="197">
        <f t="shared" si="2"/>
        <v>0</v>
      </c>
      <c r="G15" s="197">
        <f t="shared" si="2"/>
        <v>0</v>
      </c>
      <c r="H15" s="197">
        <f t="shared" si="2"/>
        <v>0</v>
      </c>
      <c r="I15" s="197">
        <f t="shared" si="2"/>
        <v>0</v>
      </c>
      <c r="J15" s="197">
        <f t="shared" si="2"/>
        <v>0</v>
      </c>
      <c r="K15" s="197">
        <f t="shared" si="2"/>
        <v>0</v>
      </c>
      <c r="L15" s="197">
        <f t="shared" si="2"/>
        <v>0</v>
      </c>
      <c r="M15" s="197">
        <f t="shared" si="2"/>
        <v>0</v>
      </c>
      <c r="N15" s="197">
        <f t="shared" si="2"/>
        <v>0</v>
      </c>
      <c r="O15" s="192">
        <f aca="true" t="shared" si="3" ref="O15:O21">SUM(C15:N15)</f>
        <v>0</v>
      </c>
    </row>
    <row r="16" spans="1:15" ht="10.5">
      <c r="A16" s="407" t="s">
        <v>116</v>
      </c>
      <c r="B16" s="473" t="str">
        <f>VLOOKUP(A16,Классификаторы!$A:$B,2,FALSE)</f>
        <v>Скидки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94">
        <f t="shared" si="3"/>
        <v>0</v>
      </c>
    </row>
    <row r="17" spans="1:15" ht="10.5">
      <c r="A17" s="407" t="s">
        <v>117</v>
      </c>
      <c r="B17" s="473" t="str">
        <f>VLOOKUP(A17,Классификаторы!$A:$B,2,FALSE)</f>
        <v>Услуги сторонних организаций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94">
        <f t="shared" si="3"/>
        <v>0</v>
      </c>
    </row>
    <row r="18" spans="1:15" ht="10.5">
      <c r="A18" s="407" t="s">
        <v>118</v>
      </c>
      <c r="B18" s="473" t="str">
        <f>VLOOKUP(A18,Классификаторы!$A:$B,2,FALSE)</f>
        <v>Реклама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4">
        <f t="shared" si="3"/>
        <v>0</v>
      </c>
    </row>
    <row r="19" spans="1:15" ht="10.5">
      <c r="A19" s="407" t="s">
        <v>119</v>
      </c>
      <c r="B19" s="473" t="str">
        <f>VLOOKUP(A19,Классификаторы!$A:$B,2,FALSE)</f>
        <v>Заработная плата с отчислениями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94">
        <f t="shared" si="3"/>
        <v>0</v>
      </c>
    </row>
    <row r="20" spans="1:15" ht="10.5">
      <c r="A20" s="407" t="s">
        <v>120</v>
      </c>
      <c r="B20" s="473" t="str">
        <f>VLOOKUP(A20,Классификаторы!$A:$B,2,FALSE)</f>
        <v>Участие в выставках и ассоциациях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94">
        <f t="shared" si="3"/>
        <v>0</v>
      </c>
    </row>
    <row r="21" spans="1:15" ht="10.5">
      <c r="A21" s="476" t="s">
        <v>121</v>
      </c>
      <c r="B21" s="477" t="str">
        <f>VLOOKUP(A21,Классификаторы!$A:$B,2,FALSE)</f>
        <v>Прочие коммерческие расходы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367">
        <f t="shared" si="3"/>
        <v>0</v>
      </c>
    </row>
  </sheetData>
  <printOptions/>
  <pageMargins left="0.75" right="0.75" top="0.68" bottom="1.29" header="0.5" footer="0.5"/>
  <pageSetup fitToHeight="1" fitToWidth="1" horizontalDpi="300" verticalDpi="300" orientation="landscape" paperSize="9" scale="63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O59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00390625" style="27" bestFit="1" customWidth="1"/>
    <col min="2" max="2" width="28.125" style="27" customWidth="1"/>
    <col min="3" max="3" width="18.375" style="27" customWidth="1"/>
    <col min="4" max="15" width="14.00390625" style="27" customWidth="1"/>
    <col min="16" max="16384" width="9.125" style="27" customWidth="1"/>
  </cols>
  <sheetData>
    <row r="1" spans="1:15" ht="18">
      <c r="A1" s="608"/>
      <c r="C1" s="96" t="s">
        <v>335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9"/>
    </row>
    <row r="2" spans="1:15" ht="10.5">
      <c r="A2" s="3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79"/>
    </row>
    <row r="3" spans="1:15" ht="13.5" thickBot="1">
      <c r="A3" s="54" t="s">
        <v>135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9"/>
    </row>
    <row r="4" spans="1:15" ht="10.5">
      <c r="A4" s="80" t="s">
        <v>0</v>
      </c>
      <c r="B4" s="55" t="s">
        <v>132</v>
      </c>
      <c r="C4" s="56">
        <v>39448</v>
      </c>
      <c r="D4" s="56">
        <v>39479</v>
      </c>
      <c r="E4" s="56">
        <v>39508</v>
      </c>
      <c r="F4" s="56">
        <v>39539</v>
      </c>
      <c r="G4" s="56">
        <v>39569</v>
      </c>
      <c r="H4" s="56">
        <v>39600</v>
      </c>
      <c r="I4" s="56">
        <v>39630</v>
      </c>
      <c r="J4" s="56">
        <v>39661</v>
      </c>
      <c r="K4" s="56">
        <v>39692</v>
      </c>
      <c r="L4" s="56">
        <v>39722</v>
      </c>
      <c r="M4" s="56">
        <v>39753</v>
      </c>
      <c r="N4" s="56">
        <v>39783</v>
      </c>
      <c r="O4" s="340" t="s">
        <v>67</v>
      </c>
    </row>
    <row r="5" spans="1:15" ht="10.5">
      <c r="A5" s="203"/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516"/>
    </row>
    <row r="6" spans="1:15" ht="10.5">
      <c r="A6" s="510"/>
      <c r="B6" s="209" t="s">
        <v>65</v>
      </c>
      <c r="C6" s="511">
        <f>Продажи!C87</f>
        <v>0</v>
      </c>
      <c r="D6" s="511">
        <f>Продажи!D87</f>
        <v>0</v>
      </c>
      <c r="E6" s="511">
        <f>Продажи!E87</f>
        <v>0</v>
      </c>
      <c r="F6" s="511">
        <f>Продажи!F87</f>
        <v>0</v>
      </c>
      <c r="G6" s="511">
        <f>Продажи!G87</f>
        <v>0</v>
      </c>
      <c r="H6" s="511">
        <f>Продажи!H87</f>
        <v>0</v>
      </c>
      <c r="I6" s="511">
        <f>Продажи!I87</f>
        <v>0</v>
      </c>
      <c r="J6" s="511">
        <f>Продажи!J87</f>
        <v>0</v>
      </c>
      <c r="K6" s="511">
        <f>Продажи!K87</f>
        <v>0</v>
      </c>
      <c r="L6" s="511">
        <f>Продажи!L87</f>
        <v>0</v>
      </c>
      <c r="M6" s="511">
        <f>Продажи!M87</f>
        <v>0</v>
      </c>
      <c r="N6" s="511">
        <f>Продажи!N87</f>
        <v>0</v>
      </c>
      <c r="O6" s="84">
        <f>SUM(C6:N6)</f>
        <v>0</v>
      </c>
    </row>
    <row r="7" spans="1:15" ht="21">
      <c r="A7" s="512"/>
      <c r="B7" s="221" t="s">
        <v>140</v>
      </c>
      <c r="C7" s="206">
        <f>'Адм и Ком'!C16</f>
        <v>0</v>
      </c>
      <c r="D7" s="206">
        <f>'Адм и Ком'!D16</f>
        <v>0</v>
      </c>
      <c r="E7" s="206">
        <f>'Адм и Ком'!E16</f>
        <v>0</v>
      </c>
      <c r="F7" s="206">
        <f>'Адм и Ком'!F16</f>
        <v>0</v>
      </c>
      <c r="G7" s="206">
        <f>'Адм и Ком'!G16</f>
        <v>0</v>
      </c>
      <c r="H7" s="206">
        <f>'Адм и Ком'!H16</f>
        <v>0</v>
      </c>
      <c r="I7" s="206">
        <f>'Адм и Ком'!I16</f>
        <v>0</v>
      </c>
      <c r="J7" s="206">
        <f>'Адм и Ком'!J16</f>
        <v>0</v>
      </c>
      <c r="K7" s="206">
        <f>'Адм и Ком'!K16</f>
        <v>0</v>
      </c>
      <c r="L7" s="206">
        <f>'Адм и Ком'!L16</f>
        <v>0</v>
      </c>
      <c r="M7" s="206">
        <f>'Адм и Ком'!M16</f>
        <v>0</v>
      </c>
      <c r="N7" s="206">
        <f>'Адм и Ком'!N16</f>
        <v>0</v>
      </c>
      <c r="O7" s="194">
        <f>SUM(C7:N7)</f>
        <v>0</v>
      </c>
    </row>
    <row r="8" spans="1:15" ht="21">
      <c r="A8" s="513"/>
      <c r="B8" s="514" t="s">
        <v>141</v>
      </c>
      <c r="C8" s="515">
        <f>C6-C7</f>
        <v>0</v>
      </c>
      <c r="D8" s="515">
        <f aca="true" t="shared" si="0" ref="D8:N8">D6-D7</f>
        <v>0</v>
      </c>
      <c r="E8" s="515">
        <f t="shared" si="0"/>
        <v>0</v>
      </c>
      <c r="F8" s="515">
        <f t="shared" si="0"/>
        <v>0</v>
      </c>
      <c r="G8" s="515">
        <f t="shared" si="0"/>
        <v>0</v>
      </c>
      <c r="H8" s="515">
        <f t="shared" si="0"/>
        <v>0</v>
      </c>
      <c r="I8" s="515">
        <f t="shared" si="0"/>
        <v>0</v>
      </c>
      <c r="J8" s="515">
        <f t="shared" si="0"/>
        <v>0</v>
      </c>
      <c r="K8" s="515">
        <f t="shared" si="0"/>
        <v>0</v>
      </c>
      <c r="L8" s="515">
        <f t="shared" si="0"/>
        <v>0</v>
      </c>
      <c r="M8" s="515">
        <f t="shared" si="0"/>
        <v>0</v>
      </c>
      <c r="N8" s="515">
        <f t="shared" si="0"/>
        <v>0</v>
      </c>
      <c r="O8" s="140">
        <f>SUM(C8:N8)</f>
        <v>0</v>
      </c>
    </row>
    <row r="9" spans="1:15" ht="10.5">
      <c r="A9" s="203"/>
      <c r="B9" s="203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07"/>
    </row>
    <row r="10" spans="1:15" s="34" customFormat="1" ht="21">
      <c r="A10" s="599" t="s">
        <v>3</v>
      </c>
      <c r="B10" s="601" t="str">
        <f>VLOOKUP(A10,Классификаторы!$A:$B,2,FALSE)</f>
        <v>Прямые производственные затраты</v>
      </c>
      <c r="C10" s="210">
        <f aca="true" t="shared" si="1" ref="C10:N10">SUM(C11:C12)</f>
        <v>0</v>
      </c>
      <c r="D10" s="210">
        <f t="shared" si="1"/>
        <v>0</v>
      </c>
      <c r="E10" s="210">
        <f t="shared" si="1"/>
        <v>0</v>
      </c>
      <c r="F10" s="210">
        <f t="shared" si="1"/>
        <v>0</v>
      </c>
      <c r="G10" s="210">
        <f t="shared" si="1"/>
        <v>0</v>
      </c>
      <c r="H10" s="210">
        <f t="shared" si="1"/>
        <v>0</v>
      </c>
      <c r="I10" s="210">
        <f t="shared" si="1"/>
        <v>0</v>
      </c>
      <c r="J10" s="210">
        <f t="shared" si="1"/>
        <v>0</v>
      </c>
      <c r="K10" s="210">
        <f t="shared" si="1"/>
        <v>0</v>
      </c>
      <c r="L10" s="210">
        <f t="shared" si="1"/>
        <v>0</v>
      </c>
      <c r="M10" s="210">
        <f t="shared" si="1"/>
        <v>0</v>
      </c>
      <c r="N10" s="211">
        <f t="shared" si="1"/>
        <v>0</v>
      </c>
      <c r="O10" s="84">
        <f>SUM(C10:N10)</f>
        <v>0</v>
      </c>
    </row>
    <row r="11" spans="1:15" ht="10.5">
      <c r="A11" s="600" t="s">
        <v>4</v>
      </c>
      <c r="B11" s="602" t="str">
        <f>VLOOKUP(A11,Классификаторы!$A:$B,2,FALSE)</f>
        <v>Исходное сырье</v>
      </c>
      <c r="C11" s="206">
        <f>Продажи!C118</f>
        <v>0</v>
      </c>
      <c r="D11" s="206">
        <f>Продажи!D118</f>
        <v>0</v>
      </c>
      <c r="E11" s="206">
        <f>Продажи!E118</f>
        <v>0</v>
      </c>
      <c r="F11" s="206">
        <f>Продажи!F118</f>
        <v>0</v>
      </c>
      <c r="G11" s="206">
        <f>Продажи!G118</f>
        <v>0</v>
      </c>
      <c r="H11" s="206">
        <f>Продажи!H118</f>
        <v>0</v>
      </c>
      <c r="I11" s="206">
        <f>Продажи!I118</f>
        <v>0</v>
      </c>
      <c r="J11" s="206">
        <f>Продажи!J118</f>
        <v>0</v>
      </c>
      <c r="K11" s="206">
        <f>Продажи!K118</f>
        <v>0</v>
      </c>
      <c r="L11" s="206">
        <f>Продажи!L118</f>
        <v>0</v>
      </c>
      <c r="M11" s="206">
        <f>Продажи!M118</f>
        <v>0</v>
      </c>
      <c r="N11" s="213">
        <f>Продажи!N118</f>
        <v>0</v>
      </c>
      <c r="O11" s="194">
        <f>SUM(C11:N11)</f>
        <v>0</v>
      </c>
    </row>
    <row r="12" spans="1:15" ht="10.5">
      <c r="A12" s="600" t="s">
        <v>5</v>
      </c>
      <c r="B12" s="602" t="str">
        <f>VLOOKUP(A12,Классификаторы!$A:$B,2,FALSE)</f>
        <v>Прямая з/п с отчислениями</v>
      </c>
      <c r="C12" s="206">
        <f>'Расчет зарплаты'!E49</f>
        <v>0</v>
      </c>
      <c r="D12" s="206">
        <f>'Расчет зарплаты'!F49</f>
        <v>0</v>
      </c>
      <c r="E12" s="206">
        <f>'Расчет зарплаты'!G49</f>
        <v>0</v>
      </c>
      <c r="F12" s="206">
        <f>'Расчет зарплаты'!H49</f>
        <v>0</v>
      </c>
      <c r="G12" s="206">
        <f>'Расчет зарплаты'!I49</f>
        <v>0</v>
      </c>
      <c r="H12" s="206">
        <f>'Расчет зарплаты'!J49</f>
        <v>0</v>
      </c>
      <c r="I12" s="206">
        <f>'Расчет зарплаты'!K49</f>
        <v>0</v>
      </c>
      <c r="J12" s="206">
        <f>'Расчет зарплаты'!L49</f>
        <v>0</v>
      </c>
      <c r="K12" s="206">
        <f>'Расчет зарплаты'!M49</f>
        <v>0</v>
      </c>
      <c r="L12" s="206">
        <f>'Расчет зарплаты'!N49</f>
        <v>0</v>
      </c>
      <c r="M12" s="206">
        <f>'Расчет зарплаты'!O49</f>
        <v>0</v>
      </c>
      <c r="N12" s="213">
        <f>'Расчет зарплаты'!P49</f>
        <v>0</v>
      </c>
      <c r="O12" s="194">
        <f>SUM(C12:N12)</f>
        <v>0</v>
      </c>
    </row>
    <row r="13" spans="1:15" ht="21">
      <c r="A13" s="212"/>
      <c r="B13" s="214" t="s">
        <v>137</v>
      </c>
      <c r="C13" s="215">
        <f>C6-C10</f>
        <v>0</v>
      </c>
      <c r="D13" s="215">
        <f aca="true" t="shared" si="2" ref="D13:N13">D6-D10</f>
        <v>0</v>
      </c>
      <c r="E13" s="215">
        <f t="shared" si="2"/>
        <v>0</v>
      </c>
      <c r="F13" s="215">
        <f t="shared" si="2"/>
        <v>0</v>
      </c>
      <c r="G13" s="215">
        <f t="shared" si="2"/>
        <v>0</v>
      </c>
      <c r="H13" s="215">
        <f t="shared" si="2"/>
        <v>0</v>
      </c>
      <c r="I13" s="215">
        <f t="shared" si="2"/>
        <v>0</v>
      </c>
      <c r="J13" s="215">
        <f t="shared" si="2"/>
        <v>0</v>
      </c>
      <c r="K13" s="215">
        <f t="shared" si="2"/>
        <v>0</v>
      </c>
      <c r="L13" s="215">
        <f t="shared" si="2"/>
        <v>0</v>
      </c>
      <c r="M13" s="215">
        <f t="shared" si="2"/>
        <v>0</v>
      </c>
      <c r="N13" s="216">
        <f t="shared" si="2"/>
        <v>0</v>
      </c>
      <c r="O13" s="194">
        <f>SUM(C13:N13)</f>
        <v>0</v>
      </c>
    </row>
    <row r="14" spans="1:15" ht="10.5">
      <c r="A14" s="217"/>
      <c r="B14" s="218" t="s">
        <v>142</v>
      </c>
      <c r="C14" s="219" t="e">
        <f aca="true" t="shared" si="3" ref="C14:N14">C13/C6</f>
        <v>#DIV/0!</v>
      </c>
      <c r="D14" s="219" t="e">
        <f t="shared" si="3"/>
        <v>#DIV/0!</v>
      </c>
      <c r="E14" s="219" t="e">
        <f t="shared" si="3"/>
        <v>#DIV/0!</v>
      </c>
      <c r="F14" s="219" t="e">
        <f t="shared" si="3"/>
        <v>#DIV/0!</v>
      </c>
      <c r="G14" s="219" t="e">
        <f t="shared" si="3"/>
        <v>#DIV/0!</v>
      </c>
      <c r="H14" s="219" t="e">
        <f t="shared" si="3"/>
        <v>#DIV/0!</v>
      </c>
      <c r="I14" s="219" t="e">
        <f t="shared" si="3"/>
        <v>#DIV/0!</v>
      </c>
      <c r="J14" s="219" t="e">
        <f t="shared" si="3"/>
        <v>#DIV/0!</v>
      </c>
      <c r="K14" s="219" t="e">
        <f t="shared" si="3"/>
        <v>#DIV/0!</v>
      </c>
      <c r="L14" s="219" t="e">
        <f t="shared" si="3"/>
        <v>#DIV/0!</v>
      </c>
      <c r="M14" s="219" t="e">
        <f t="shared" si="3"/>
        <v>#DIV/0!</v>
      </c>
      <c r="N14" s="220" t="e">
        <f t="shared" si="3"/>
        <v>#DIV/0!</v>
      </c>
      <c r="O14" s="517"/>
    </row>
    <row r="15" spans="1:15" ht="21">
      <c r="A15" s="599" t="s">
        <v>12</v>
      </c>
      <c r="B15" s="601" t="str">
        <f>VLOOKUP(A15,Классификаторы!$A:$B,2,FALSE)</f>
        <v>Затраты на ремонт и содержание оборудования</v>
      </c>
      <c r="C15" s="210">
        <f>'Общепроизвод расходы'!C20</f>
        <v>0</v>
      </c>
      <c r="D15" s="210">
        <f>'Общепроизвод расходы'!D20</f>
        <v>0</v>
      </c>
      <c r="E15" s="210">
        <f>'Общепроизвод расходы'!E20</f>
        <v>0</v>
      </c>
      <c r="F15" s="210">
        <f>'Общепроизвод расходы'!F20</f>
        <v>0</v>
      </c>
      <c r="G15" s="210">
        <f>'Общепроизвод расходы'!G20</f>
        <v>0</v>
      </c>
      <c r="H15" s="210">
        <f>'Общепроизвод расходы'!H20</f>
        <v>0</v>
      </c>
      <c r="I15" s="210">
        <f>'Общепроизвод расходы'!I20</f>
        <v>0</v>
      </c>
      <c r="J15" s="210">
        <f>'Общепроизвод расходы'!J20</f>
        <v>0</v>
      </c>
      <c r="K15" s="210">
        <f>'Общепроизвод расходы'!K20</f>
        <v>0</v>
      </c>
      <c r="L15" s="210">
        <f>'Общепроизвод расходы'!L20</f>
        <v>0</v>
      </c>
      <c r="M15" s="210">
        <f>'Общепроизвод расходы'!M20</f>
        <v>0</v>
      </c>
      <c r="N15" s="211">
        <f>'Общепроизвод расходы'!N20</f>
        <v>0</v>
      </c>
      <c r="O15" s="192">
        <f>SUM(C15:N15)</f>
        <v>0</v>
      </c>
    </row>
    <row r="16" spans="1:15" ht="31.5">
      <c r="A16" s="212"/>
      <c r="B16" s="214" t="s">
        <v>138</v>
      </c>
      <c r="C16" s="215">
        <f>C13-C15</f>
        <v>0</v>
      </c>
      <c r="D16" s="215">
        <f aca="true" t="shared" si="4" ref="D16:N16">D13-D15</f>
        <v>0</v>
      </c>
      <c r="E16" s="215">
        <f t="shared" si="4"/>
        <v>0</v>
      </c>
      <c r="F16" s="215">
        <f t="shared" si="4"/>
        <v>0</v>
      </c>
      <c r="G16" s="215">
        <f t="shared" si="4"/>
        <v>0</v>
      </c>
      <c r="H16" s="215">
        <f t="shared" si="4"/>
        <v>0</v>
      </c>
      <c r="I16" s="215">
        <f t="shared" si="4"/>
        <v>0</v>
      </c>
      <c r="J16" s="215">
        <f t="shared" si="4"/>
        <v>0</v>
      </c>
      <c r="K16" s="215">
        <f t="shared" si="4"/>
        <v>0</v>
      </c>
      <c r="L16" s="215">
        <f t="shared" si="4"/>
        <v>0</v>
      </c>
      <c r="M16" s="215">
        <f t="shared" si="4"/>
        <v>0</v>
      </c>
      <c r="N16" s="215">
        <f t="shared" si="4"/>
        <v>0</v>
      </c>
      <c r="O16" s="194">
        <f>SUM(C16:N16)</f>
        <v>0</v>
      </c>
    </row>
    <row r="17" spans="1:15" ht="10.5">
      <c r="A17" s="217"/>
      <c r="B17" s="218" t="s">
        <v>142</v>
      </c>
      <c r="C17" s="219" t="e">
        <f aca="true" t="shared" si="5" ref="C17:N17">C16/C6</f>
        <v>#DIV/0!</v>
      </c>
      <c r="D17" s="219" t="e">
        <f t="shared" si="5"/>
        <v>#DIV/0!</v>
      </c>
      <c r="E17" s="219" t="e">
        <f t="shared" si="5"/>
        <v>#DIV/0!</v>
      </c>
      <c r="F17" s="219" t="e">
        <f t="shared" si="5"/>
        <v>#DIV/0!</v>
      </c>
      <c r="G17" s="219" t="e">
        <f t="shared" si="5"/>
        <v>#DIV/0!</v>
      </c>
      <c r="H17" s="219" t="e">
        <f t="shared" si="5"/>
        <v>#DIV/0!</v>
      </c>
      <c r="I17" s="219" t="e">
        <f t="shared" si="5"/>
        <v>#DIV/0!</v>
      </c>
      <c r="J17" s="219" t="e">
        <f t="shared" si="5"/>
        <v>#DIV/0!</v>
      </c>
      <c r="K17" s="219" t="e">
        <f t="shared" si="5"/>
        <v>#DIV/0!</v>
      </c>
      <c r="L17" s="219" t="e">
        <f t="shared" si="5"/>
        <v>#DIV/0!</v>
      </c>
      <c r="M17" s="219" t="e">
        <f t="shared" si="5"/>
        <v>#DIV/0!</v>
      </c>
      <c r="N17" s="220" t="e">
        <f t="shared" si="5"/>
        <v>#DIV/0!</v>
      </c>
      <c r="O17" s="367"/>
    </row>
    <row r="18" spans="1:15" ht="10.5">
      <c r="A18" s="599" t="s">
        <v>7</v>
      </c>
      <c r="B18" s="601" t="str">
        <f>VLOOKUP(A18,Классификаторы!$A:$B,2,FALSE)</f>
        <v>Цеховые затраты</v>
      </c>
      <c r="C18" s="210">
        <f>'Общепроизвод расходы'!C5</f>
        <v>0</v>
      </c>
      <c r="D18" s="210">
        <f>'Общепроизвод расходы'!D5</f>
        <v>0</v>
      </c>
      <c r="E18" s="210">
        <f>'Общепроизвод расходы'!E5</f>
        <v>0</v>
      </c>
      <c r="F18" s="210">
        <f>'Общепроизвод расходы'!F5</f>
        <v>0</v>
      </c>
      <c r="G18" s="210">
        <f>'Общепроизвод расходы'!G5</f>
        <v>0</v>
      </c>
      <c r="H18" s="210">
        <f>'Общепроизвод расходы'!H5</f>
        <v>0</v>
      </c>
      <c r="I18" s="210">
        <f>'Общепроизвод расходы'!I5</f>
        <v>0</v>
      </c>
      <c r="J18" s="210">
        <f>'Общепроизвод расходы'!J5</f>
        <v>0</v>
      </c>
      <c r="K18" s="210">
        <f>'Общепроизвод расходы'!K5</f>
        <v>0</v>
      </c>
      <c r="L18" s="210">
        <f>'Общепроизвод расходы'!L5</f>
        <v>0</v>
      </c>
      <c r="M18" s="210">
        <f>'Общепроизвод расходы'!M5</f>
        <v>0</v>
      </c>
      <c r="N18" s="211">
        <f>'Общепроизвод расходы'!N5</f>
        <v>0</v>
      </c>
      <c r="O18" s="339">
        <f>SUM(C18:N18)</f>
        <v>0</v>
      </c>
    </row>
    <row r="19" spans="1:15" ht="21">
      <c r="A19" s="600" t="s">
        <v>15</v>
      </c>
      <c r="B19" s="603" t="str">
        <f>VLOOKUP(A19,Классификаторы!$A:$B,2,FALSE)</f>
        <v>Административные расходы</v>
      </c>
      <c r="C19" s="222">
        <f>'Адм и Ком'!C5</f>
        <v>0</v>
      </c>
      <c r="D19" s="222">
        <f>'Адм и Ком'!D5</f>
        <v>0</v>
      </c>
      <c r="E19" s="222">
        <f>'Адм и Ком'!E5</f>
        <v>0</v>
      </c>
      <c r="F19" s="222">
        <f>'Адм и Ком'!F5</f>
        <v>0</v>
      </c>
      <c r="G19" s="222">
        <f>'Адм и Ком'!G5</f>
        <v>0</v>
      </c>
      <c r="H19" s="222">
        <f>'Адм и Ком'!H5</f>
        <v>0</v>
      </c>
      <c r="I19" s="222">
        <f>'Адм и Ком'!I5</f>
        <v>0</v>
      </c>
      <c r="J19" s="222">
        <f>'Адм и Ком'!J5</f>
        <v>0</v>
      </c>
      <c r="K19" s="222">
        <f>'Адм и Ком'!K5</f>
        <v>0</v>
      </c>
      <c r="L19" s="222">
        <f>'Адм и Ком'!L5</f>
        <v>0</v>
      </c>
      <c r="M19" s="222">
        <f>'Адм и Ком'!M5</f>
        <v>0</v>
      </c>
      <c r="N19" s="223">
        <f>'Адм и Ком'!N5</f>
        <v>0</v>
      </c>
      <c r="O19" s="144">
        <f>SUM(C19:N19)</f>
        <v>0</v>
      </c>
    </row>
    <row r="20" spans="1:15" ht="21">
      <c r="A20" s="208"/>
      <c r="B20" s="209" t="s">
        <v>139</v>
      </c>
      <c r="C20" s="210">
        <f>'Адм и Ком'!C15-БДР!C7</f>
        <v>0</v>
      </c>
      <c r="D20" s="210">
        <f>'Адм и Ком'!D15-БДР!D7</f>
        <v>0</v>
      </c>
      <c r="E20" s="210">
        <f>'Адм и Ком'!E15-БДР!E7</f>
        <v>0</v>
      </c>
      <c r="F20" s="210">
        <f>'Адм и Ком'!F15-БДР!F7</f>
        <v>0</v>
      </c>
      <c r="G20" s="210">
        <f>'Адм и Ком'!G15-БДР!G7</f>
        <v>0</v>
      </c>
      <c r="H20" s="210">
        <f>'Адм и Ком'!H15-БДР!H7</f>
        <v>0</v>
      </c>
      <c r="I20" s="210">
        <f>'Адм и Ком'!I15-БДР!I7</f>
        <v>0</v>
      </c>
      <c r="J20" s="210">
        <f>'Адм и Ком'!J15-БДР!J7</f>
        <v>0</v>
      </c>
      <c r="K20" s="210">
        <f>'Адм и Ком'!K15-БДР!K7</f>
        <v>0</v>
      </c>
      <c r="L20" s="210">
        <f>'Адм и Ком'!L15-БДР!L7</f>
        <v>0</v>
      </c>
      <c r="M20" s="210">
        <f>'Адм и Ком'!M15-БДР!M7</f>
        <v>0</v>
      </c>
      <c r="N20" s="211">
        <f>'Адм и Ком'!N15-БДР!N7</f>
        <v>0</v>
      </c>
      <c r="O20" s="318">
        <f>SUM(C20:N20)</f>
        <v>0</v>
      </c>
    </row>
    <row r="21" spans="1:15" ht="31.5">
      <c r="A21" s="212"/>
      <c r="B21" s="214" t="s">
        <v>136</v>
      </c>
      <c r="C21" s="519">
        <f>C16-C18-C19-C20</f>
        <v>0</v>
      </c>
      <c r="D21" s="519">
        <f aca="true" t="shared" si="6" ref="D21:N21">D16-D18-D19-D20</f>
        <v>0</v>
      </c>
      <c r="E21" s="519">
        <f t="shared" si="6"/>
        <v>0</v>
      </c>
      <c r="F21" s="519">
        <f t="shared" si="6"/>
        <v>0</v>
      </c>
      <c r="G21" s="519">
        <f t="shared" si="6"/>
        <v>0</v>
      </c>
      <c r="H21" s="519">
        <f t="shared" si="6"/>
        <v>0</v>
      </c>
      <c r="I21" s="519">
        <f t="shared" si="6"/>
        <v>0</v>
      </c>
      <c r="J21" s="519">
        <f t="shared" si="6"/>
        <v>0</v>
      </c>
      <c r="K21" s="519">
        <f t="shared" si="6"/>
        <v>0</v>
      </c>
      <c r="L21" s="519">
        <f t="shared" si="6"/>
        <v>0</v>
      </c>
      <c r="M21" s="519">
        <f t="shared" si="6"/>
        <v>0</v>
      </c>
      <c r="N21" s="520">
        <f t="shared" si="6"/>
        <v>0</v>
      </c>
      <c r="O21" s="319">
        <f>SUM(C21:N21)</f>
        <v>0</v>
      </c>
    </row>
    <row r="22" spans="1:15" ht="10.5">
      <c r="A22" s="224"/>
      <c r="B22" s="218" t="s">
        <v>142</v>
      </c>
      <c r="C22" s="521" t="e">
        <f aca="true" t="shared" si="7" ref="C22:N22">C21/C6</f>
        <v>#DIV/0!</v>
      </c>
      <c r="D22" s="521" t="e">
        <f t="shared" si="7"/>
        <v>#DIV/0!</v>
      </c>
      <c r="E22" s="521" t="e">
        <f t="shared" si="7"/>
        <v>#DIV/0!</v>
      </c>
      <c r="F22" s="521" t="e">
        <f t="shared" si="7"/>
        <v>#DIV/0!</v>
      </c>
      <c r="G22" s="521" t="e">
        <f t="shared" si="7"/>
        <v>#DIV/0!</v>
      </c>
      <c r="H22" s="521" t="e">
        <f t="shared" si="7"/>
        <v>#DIV/0!</v>
      </c>
      <c r="I22" s="521" t="e">
        <f t="shared" si="7"/>
        <v>#DIV/0!</v>
      </c>
      <c r="J22" s="521" t="e">
        <f t="shared" si="7"/>
        <v>#DIV/0!</v>
      </c>
      <c r="K22" s="521" t="e">
        <f t="shared" si="7"/>
        <v>#DIV/0!</v>
      </c>
      <c r="L22" s="521" t="e">
        <f t="shared" si="7"/>
        <v>#DIV/0!</v>
      </c>
      <c r="M22" s="521" t="e">
        <f t="shared" si="7"/>
        <v>#DIV/0!</v>
      </c>
      <c r="N22" s="522" t="e">
        <f t="shared" si="7"/>
        <v>#DIV/0!</v>
      </c>
      <c r="O22" s="518"/>
    </row>
    <row r="23" ht="10.5">
      <c r="B23" s="225"/>
    </row>
    <row r="24" ht="10.5">
      <c r="B24" s="225"/>
    </row>
    <row r="25" ht="13.5" thickBot="1">
      <c r="A25" s="77" t="s">
        <v>336</v>
      </c>
    </row>
    <row r="26" spans="1:15" ht="10.5">
      <c r="A26" s="80"/>
      <c r="B26" s="55" t="s">
        <v>132</v>
      </c>
      <c r="C26" s="56">
        <v>39448</v>
      </c>
      <c r="D26" s="56">
        <v>39479</v>
      </c>
      <c r="E26" s="56">
        <v>39508</v>
      </c>
      <c r="F26" s="56">
        <v>39539</v>
      </c>
      <c r="G26" s="56">
        <v>39569</v>
      </c>
      <c r="H26" s="56">
        <v>39600</v>
      </c>
      <c r="I26" s="56">
        <v>39630</v>
      </c>
      <c r="J26" s="56">
        <v>39661</v>
      </c>
      <c r="K26" s="56">
        <v>39692</v>
      </c>
      <c r="L26" s="56">
        <v>39722</v>
      </c>
      <c r="M26" s="56">
        <v>39753</v>
      </c>
      <c r="N26" s="56">
        <v>39783</v>
      </c>
      <c r="O26" s="340" t="s">
        <v>67</v>
      </c>
    </row>
    <row r="27" spans="1:15" ht="31.5">
      <c r="A27" s="226"/>
      <c r="B27" s="227" t="s">
        <v>166</v>
      </c>
      <c r="C27" s="228">
        <f>C6-C11</f>
        <v>0</v>
      </c>
      <c r="D27" s="228">
        <f aca="true" t="shared" si="8" ref="D27:N27">D6-D11</f>
        <v>0</v>
      </c>
      <c r="E27" s="228">
        <f t="shared" si="8"/>
        <v>0</v>
      </c>
      <c r="F27" s="228">
        <f t="shared" si="8"/>
        <v>0</v>
      </c>
      <c r="G27" s="228">
        <f t="shared" si="8"/>
        <v>0</v>
      </c>
      <c r="H27" s="228">
        <f t="shared" si="8"/>
        <v>0</v>
      </c>
      <c r="I27" s="228">
        <f t="shared" si="8"/>
        <v>0</v>
      </c>
      <c r="J27" s="228">
        <f t="shared" si="8"/>
        <v>0</v>
      </c>
      <c r="K27" s="228">
        <f t="shared" si="8"/>
        <v>0</v>
      </c>
      <c r="L27" s="228">
        <f t="shared" si="8"/>
        <v>0</v>
      </c>
      <c r="M27" s="228">
        <f t="shared" si="8"/>
        <v>0</v>
      </c>
      <c r="N27" s="523">
        <f t="shared" si="8"/>
        <v>0</v>
      </c>
      <c r="O27" s="526">
        <f>SUM(C27:N27)</f>
        <v>0</v>
      </c>
    </row>
    <row r="28" spans="1:15" ht="10.5">
      <c r="A28" s="229"/>
      <c r="B28" s="230" t="s">
        <v>142</v>
      </c>
      <c r="C28" s="231" t="e">
        <f>C27/C6</f>
        <v>#DIV/0!</v>
      </c>
      <c r="D28" s="231" t="e">
        <f aca="true" t="shared" si="9" ref="D28:N28">D27/D6</f>
        <v>#DIV/0!</v>
      </c>
      <c r="E28" s="231" t="e">
        <f t="shared" si="9"/>
        <v>#DIV/0!</v>
      </c>
      <c r="F28" s="231" t="e">
        <f t="shared" si="9"/>
        <v>#DIV/0!</v>
      </c>
      <c r="G28" s="231" t="e">
        <f t="shared" si="9"/>
        <v>#DIV/0!</v>
      </c>
      <c r="H28" s="231" t="e">
        <f t="shared" si="9"/>
        <v>#DIV/0!</v>
      </c>
      <c r="I28" s="231" t="e">
        <f t="shared" si="9"/>
        <v>#DIV/0!</v>
      </c>
      <c r="J28" s="231" t="e">
        <f t="shared" si="9"/>
        <v>#DIV/0!</v>
      </c>
      <c r="K28" s="231" t="e">
        <f t="shared" si="9"/>
        <v>#DIV/0!</v>
      </c>
      <c r="L28" s="231" t="e">
        <f t="shared" si="9"/>
        <v>#DIV/0!</v>
      </c>
      <c r="M28" s="231" t="e">
        <f t="shared" si="9"/>
        <v>#DIV/0!</v>
      </c>
      <c r="N28" s="524" t="e">
        <f t="shared" si="9"/>
        <v>#DIV/0!</v>
      </c>
      <c r="O28" s="527" t="e">
        <f>O27/O6</f>
        <v>#DIV/0!</v>
      </c>
    </row>
    <row r="29" spans="1:15" ht="21">
      <c r="A29" s="232"/>
      <c r="B29" s="233" t="s">
        <v>167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525"/>
      <c r="O29" s="528"/>
    </row>
    <row r="30" spans="1:15" ht="10.5">
      <c r="A30" s="125" t="s">
        <v>250</v>
      </c>
      <c r="B30" s="235" t="str">
        <f>VLOOKUP(A30,Классификаторы!$A:$B,2,FALSE)</f>
        <v>Продукт 1</v>
      </c>
      <c r="C30" s="228">
        <f>SUMIF(Продажи!$A$65:$A$81,$A30,Продажи!$C$65:$C$81)-SUMIF(Продажи!$A$102:$A$117,$A30,Продажи!$C$102:$C$117)</f>
        <v>0</v>
      </c>
      <c r="D30" s="228">
        <f>SUMIF(Продажи!$A$65:$A$81,$A30,Продажи!$C$65:$C$81)-SUMIF(Продажи!$A$102:$A$117,$A30,Продажи!$C$102:$C$117)</f>
        <v>0</v>
      </c>
      <c r="E30" s="228">
        <f>SUMIF(Продажи!$A$65:$A$81,$A30,Продажи!$C$65:$C$81)-SUMIF(Продажи!$A$102:$A$117,$A30,Продажи!$C$102:$C$117)</f>
        <v>0</v>
      </c>
      <c r="F30" s="228">
        <f>SUMIF(Продажи!$A$65:$A$81,$A30,Продажи!$C$65:$C$81)-SUMIF(Продажи!$A$102:$A$117,$A30,Продажи!$C$102:$C$117)</f>
        <v>0</v>
      </c>
      <c r="G30" s="228">
        <f>SUMIF(Продажи!$A$65:$A$81,$A30,Продажи!$C$65:$C$81)-SUMIF(Продажи!$A$102:$A$117,$A30,Продажи!$C$102:$C$117)</f>
        <v>0</v>
      </c>
      <c r="H30" s="228">
        <f>SUMIF(Продажи!$A$65:$A$81,$A30,Продажи!$C$65:$C$81)-SUMIF(Продажи!$A$102:$A$117,$A30,Продажи!$C$102:$C$117)</f>
        <v>0</v>
      </c>
      <c r="I30" s="228">
        <f>SUMIF(Продажи!$A$65:$A$81,$A30,Продажи!$C$65:$C$81)-SUMIF(Продажи!$A$102:$A$117,$A30,Продажи!$C$102:$C$117)</f>
        <v>0</v>
      </c>
      <c r="J30" s="228">
        <f>SUMIF(Продажи!$A$65:$A$81,$A30,Продажи!$C$65:$C$81)-SUMIF(Продажи!$A$102:$A$117,$A30,Продажи!$C$102:$C$117)</f>
        <v>0</v>
      </c>
      <c r="K30" s="228">
        <f>SUMIF(Продажи!$A$65:$A$81,$A30,Продажи!$C$65:$C$81)-SUMIF(Продажи!$A$102:$A$117,$A30,Продажи!$C$102:$C$117)</f>
        <v>0</v>
      </c>
      <c r="L30" s="228">
        <f>SUMIF(Продажи!$A$65:$A$81,$A30,Продажи!$C$65:$C$81)-SUMIF(Продажи!$A$102:$A$117,$A30,Продажи!$C$102:$C$117)</f>
        <v>0</v>
      </c>
      <c r="M30" s="228">
        <f>SUMIF(Продажи!$A$65:$A$81,$A30,Продажи!$C$65:$C$81)-SUMIF(Продажи!$A$102:$A$117,$A30,Продажи!$C$102:$C$117)</f>
        <v>0</v>
      </c>
      <c r="N30" s="523">
        <f>SUMIF(Продажи!$A$65:$A$81,$A30,Продажи!$C$65:$C$81)-SUMIF(Продажи!$A$102:$A$117,$A30,Продажи!$C$102:$C$117)</f>
        <v>0</v>
      </c>
      <c r="O30" s="526">
        <f>SUMIF(Продажи!$A$65:$A$81,$A30,Продажи!$C$65:$C$81)-SUMIF(Продажи!$A$102:$A$117,$A30,Продажи!$C$102:$C$117)</f>
        <v>0</v>
      </c>
    </row>
    <row r="31" spans="1:15" ht="10.5">
      <c r="A31" s="236"/>
      <c r="B31" s="237" t="s">
        <v>142</v>
      </c>
      <c r="C31" s="231" t="e">
        <f>C30/SUMIF(Продажи!$A$65:$A$81,$A30,Продажи!$C$65:$C$81)</f>
        <v>#DIV/0!</v>
      </c>
      <c r="D31" s="231" t="e">
        <f>D30/SUMIF(Продажи!$A$65:$A$81,$A30,Продажи!D$65:D$81)</f>
        <v>#DIV/0!</v>
      </c>
      <c r="E31" s="231" t="e">
        <f>E30/SUMIF(Продажи!$A$65:$A$81,$A30,Продажи!E$65:E$81)</f>
        <v>#DIV/0!</v>
      </c>
      <c r="F31" s="231" t="e">
        <f>F30/SUMIF(Продажи!$A$65:$A$81,$A30,Продажи!F$65:F$81)</f>
        <v>#DIV/0!</v>
      </c>
      <c r="G31" s="231" t="e">
        <f>G30/SUMIF(Продажи!$A$65:$A$81,$A30,Продажи!G$65:G$81)</f>
        <v>#DIV/0!</v>
      </c>
      <c r="H31" s="231" t="e">
        <f>H30/SUMIF(Продажи!$A$65:$A$81,$A30,Продажи!H$65:H$81)</f>
        <v>#DIV/0!</v>
      </c>
      <c r="I31" s="231" t="e">
        <f>I30/SUMIF(Продажи!$A$65:$A$81,$A30,Продажи!I$65:I$81)</f>
        <v>#DIV/0!</v>
      </c>
      <c r="J31" s="231" t="e">
        <f>J30/SUMIF(Продажи!$A$65:$A$81,$A30,Продажи!J$65:J$81)</f>
        <v>#DIV/0!</v>
      </c>
      <c r="K31" s="231" t="e">
        <f>K30/SUMIF(Продажи!$A$65:$A$81,$A30,Продажи!K$65:K$81)</f>
        <v>#DIV/0!</v>
      </c>
      <c r="L31" s="231" t="e">
        <f>L30/SUMIF(Продажи!$A$65:$A$81,$A30,Продажи!L$65:L$81)</f>
        <v>#DIV/0!</v>
      </c>
      <c r="M31" s="231" t="e">
        <f>M30/SUMIF(Продажи!$A$65:$A$81,$A30,Продажи!M$65:M$81)</f>
        <v>#DIV/0!</v>
      </c>
      <c r="N31" s="524" t="e">
        <f>N30/SUMIF(Продажи!$A$65:$A$81,$A30,Продажи!N$65:N$81)</f>
        <v>#DIV/0!</v>
      </c>
      <c r="O31" s="529" t="e">
        <f>O30/SUMIF(Продажи!$A$65:$A$81,$A30,Продажи!O$65:O$81)</f>
        <v>#DIV/0!</v>
      </c>
    </row>
    <row r="32" spans="1:15" ht="10.5">
      <c r="A32" s="125" t="s">
        <v>251</v>
      </c>
      <c r="B32" s="235" t="str">
        <f>VLOOKUP(A32,Классификаторы!$A:$B,2,FALSE)</f>
        <v>Продукт 2</v>
      </c>
      <c r="C32" s="228">
        <f>SUMIF(Продажи!$A$65:$A$81,$A32,Продажи!$C$65:$C$81)-SUMIF(Продажи!$A$102:$A$117,$A32,Продажи!$C$102:$C$117)</f>
        <v>0</v>
      </c>
      <c r="D32" s="228">
        <f>SUMIF(Продажи!$A$65:$A$81,$A32,Продажи!$C$65:$C$81)-SUMIF(Продажи!$A$102:$A$117,$A32,Продажи!$C$102:$C$117)</f>
        <v>0</v>
      </c>
      <c r="E32" s="228">
        <f>SUMIF(Продажи!$A$65:$A$81,$A32,Продажи!$C$65:$C$81)-SUMIF(Продажи!$A$102:$A$117,$A32,Продажи!$C$102:$C$117)</f>
        <v>0</v>
      </c>
      <c r="F32" s="228">
        <f>SUMIF(Продажи!$A$65:$A$81,$A32,Продажи!$C$65:$C$81)-SUMIF(Продажи!$A$102:$A$117,$A32,Продажи!$C$102:$C$117)</f>
        <v>0</v>
      </c>
      <c r="G32" s="228">
        <f>SUMIF(Продажи!$A$65:$A$81,$A32,Продажи!$C$65:$C$81)-SUMIF(Продажи!$A$102:$A$117,$A32,Продажи!$C$102:$C$117)</f>
        <v>0</v>
      </c>
      <c r="H32" s="228">
        <f>SUMIF(Продажи!$A$65:$A$81,$A32,Продажи!$C$65:$C$81)-SUMIF(Продажи!$A$102:$A$117,$A32,Продажи!$C$102:$C$117)</f>
        <v>0</v>
      </c>
      <c r="I32" s="228">
        <f>SUMIF(Продажи!$A$65:$A$81,$A32,Продажи!$C$65:$C$81)-SUMIF(Продажи!$A$102:$A$117,$A32,Продажи!$C$102:$C$117)</f>
        <v>0</v>
      </c>
      <c r="J32" s="228">
        <f>SUMIF(Продажи!$A$65:$A$81,$A32,Продажи!$C$65:$C$81)-SUMIF(Продажи!$A$102:$A$117,$A32,Продажи!$C$102:$C$117)</f>
        <v>0</v>
      </c>
      <c r="K32" s="228">
        <f>SUMIF(Продажи!$A$65:$A$81,$A32,Продажи!$C$65:$C$81)-SUMIF(Продажи!$A$102:$A$117,$A32,Продажи!$C$102:$C$117)</f>
        <v>0</v>
      </c>
      <c r="L32" s="228">
        <f>SUMIF(Продажи!$A$65:$A$81,$A32,Продажи!$C$65:$C$81)-SUMIF(Продажи!$A$102:$A$117,$A32,Продажи!$C$102:$C$117)</f>
        <v>0</v>
      </c>
      <c r="M32" s="228">
        <f>SUMIF(Продажи!$A$65:$A$81,$A32,Продажи!$C$65:$C$81)-SUMIF(Продажи!$A$102:$A$117,$A32,Продажи!$C$102:$C$117)</f>
        <v>0</v>
      </c>
      <c r="N32" s="523">
        <f>SUMIF(Продажи!$A$65:$A$81,$A32,Продажи!$C$65:$C$81)-SUMIF(Продажи!$A$102:$A$117,$A32,Продажи!$C$102:$C$117)</f>
        <v>0</v>
      </c>
      <c r="O32" s="526">
        <f>SUMIF(Продажи!$A$65:$A$81,$A32,Продажи!$C$65:$C$81)-SUMIF(Продажи!$A$102:$A$117,$A32,Продажи!$C$102:$C$117)</f>
        <v>0</v>
      </c>
    </row>
    <row r="33" spans="1:15" ht="10.5">
      <c r="A33" s="236"/>
      <c r="B33" s="237" t="s">
        <v>142</v>
      </c>
      <c r="C33" s="231" t="e">
        <f>C32/SUMIF(Продажи!$A$65:$A$81,$A32,Продажи!$C$65:$C$81)</f>
        <v>#DIV/0!</v>
      </c>
      <c r="D33" s="231" t="e">
        <f>D32/SUMIF(Продажи!$A$65:$A$81,$A32,Продажи!D$65:D$81)</f>
        <v>#DIV/0!</v>
      </c>
      <c r="E33" s="231" t="e">
        <f>E32/SUMIF(Продажи!$A$65:$A$81,$A32,Продажи!E$65:E$81)</f>
        <v>#DIV/0!</v>
      </c>
      <c r="F33" s="231" t="e">
        <f>F32/SUMIF(Продажи!$A$65:$A$81,$A32,Продажи!F$65:F$81)</f>
        <v>#DIV/0!</v>
      </c>
      <c r="G33" s="231" t="e">
        <f>G32/SUMIF(Продажи!$A$65:$A$81,$A32,Продажи!G$65:G$81)</f>
        <v>#DIV/0!</v>
      </c>
      <c r="H33" s="231" t="e">
        <f>H32/SUMIF(Продажи!$A$65:$A$81,$A32,Продажи!H$65:H$81)</f>
        <v>#DIV/0!</v>
      </c>
      <c r="I33" s="231" t="e">
        <f>I32/SUMIF(Продажи!$A$65:$A$81,$A32,Продажи!I$65:I$81)</f>
        <v>#DIV/0!</v>
      </c>
      <c r="J33" s="231" t="e">
        <f>J32/SUMIF(Продажи!$A$65:$A$81,$A32,Продажи!J$65:J$81)</f>
        <v>#DIV/0!</v>
      </c>
      <c r="K33" s="231" t="e">
        <f>K32/SUMIF(Продажи!$A$65:$A$81,$A32,Продажи!K$65:K$81)</f>
        <v>#DIV/0!</v>
      </c>
      <c r="L33" s="231" t="e">
        <f>L32/SUMIF(Продажи!$A$65:$A$81,$A32,Продажи!L$65:L$81)</f>
        <v>#DIV/0!</v>
      </c>
      <c r="M33" s="231" t="e">
        <f>M32/SUMIF(Продажи!$A$65:$A$81,$A32,Продажи!M$65:M$81)</f>
        <v>#DIV/0!</v>
      </c>
      <c r="N33" s="524" t="e">
        <f>N32/SUMIF(Продажи!$A$65:$A$81,$A32,Продажи!N$65:N$81)</f>
        <v>#DIV/0!</v>
      </c>
      <c r="O33" s="529" t="e">
        <f>O32/SUMIF(Продажи!$A$65:$A$81,$A32,Продажи!O$65:O$81)</f>
        <v>#DIV/0!</v>
      </c>
    </row>
    <row r="34" spans="1:15" ht="10.5">
      <c r="A34" s="125" t="s">
        <v>252</v>
      </c>
      <c r="B34" s="235" t="str">
        <f>VLOOKUP(A34,Классификаторы!$A:$B,2,FALSE)</f>
        <v>Продукт 3</v>
      </c>
      <c r="C34" s="228">
        <f>SUMIF(Продажи!$A$65:$A$81,$A34,Продажи!$C$65:$C$81)-SUMIF(Продажи!$A$102:$A$117,$A34,Продажи!$C$102:$C$117)</f>
        <v>0</v>
      </c>
      <c r="D34" s="228">
        <f>SUMIF(Продажи!$A$65:$A$81,$A34,Продажи!$C$65:$C$81)-SUMIF(Продажи!$A$102:$A$117,$A34,Продажи!$C$102:$C$117)</f>
        <v>0</v>
      </c>
      <c r="E34" s="228">
        <f>SUMIF(Продажи!$A$65:$A$81,$A34,Продажи!$C$65:$C$81)-SUMIF(Продажи!$A$102:$A$117,$A34,Продажи!$C$102:$C$117)</f>
        <v>0</v>
      </c>
      <c r="F34" s="228">
        <f>SUMIF(Продажи!$A$65:$A$81,$A34,Продажи!$C$65:$C$81)-SUMIF(Продажи!$A$102:$A$117,$A34,Продажи!$C$102:$C$117)</f>
        <v>0</v>
      </c>
      <c r="G34" s="228">
        <f>SUMIF(Продажи!$A$65:$A$81,$A34,Продажи!$C$65:$C$81)-SUMIF(Продажи!$A$102:$A$117,$A34,Продажи!$C$102:$C$117)</f>
        <v>0</v>
      </c>
      <c r="H34" s="228">
        <f>SUMIF(Продажи!$A$65:$A$81,$A34,Продажи!$C$65:$C$81)-SUMIF(Продажи!$A$102:$A$117,$A34,Продажи!$C$102:$C$117)</f>
        <v>0</v>
      </c>
      <c r="I34" s="228">
        <f>SUMIF(Продажи!$A$65:$A$81,$A34,Продажи!$C$65:$C$81)-SUMIF(Продажи!$A$102:$A$117,$A34,Продажи!$C$102:$C$117)</f>
        <v>0</v>
      </c>
      <c r="J34" s="228">
        <f>SUMIF(Продажи!$A$65:$A$81,$A34,Продажи!$C$65:$C$81)-SUMIF(Продажи!$A$102:$A$117,$A34,Продажи!$C$102:$C$117)</f>
        <v>0</v>
      </c>
      <c r="K34" s="228">
        <f>SUMIF(Продажи!$A$65:$A$81,$A34,Продажи!$C$65:$C$81)-SUMIF(Продажи!$A$102:$A$117,$A34,Продажи!$C$102:$C$117)</f>
        <v>0</v>
      </c>
      <c r="L34" s="228">
        <f>SUMIF(Продажи!$A$65:$A$81,$A34,Продажи!$C$65:$C$81)-SUMIF(Продажи!$A$102:$A$117,$A34,Продажи!$C$102:$C$117)</f>
        <v>0</v>
      </c>
      <c r="M34" s="228">
        <f>SUMIF(Продажи!$A$65:$A$81,$A34,Продажи!$C$65:$C$81)-SUMIF(Продажи!$A$102:$A$117,$A34,Продажи!$C$102:$C$117)</f>
        <v>0</v>
      </c>
      <c r="N34" s="523">
        <f>SUMIF(Продажи!$A$65:$A$81,$A34,Продажи!$C$65:$C$81)-SUMIF(Продажи!$A$102:$A$117,$A34,Продажи!$C$102:$C$117)</f>
        <v>0</v>
      </c>
      <c r="O34" s="526">
        <f>SUMIF(Продажи!$A$65:$A$81,$A34,Продажи!$C$65:$C$81)-SUMIF(Продажи!$A$102:$A$117,$A34,Продажи!$C$102:$C$117)</f>
        <v>0</v>
      </c>
    </row>
    <row r="35" spans="1:15" ht="10.5">
      <c r="A35" s="236"/>
      <c r="B35" s="237" t="s">
        <v>142</v>
      </c>
      <c r="C35" s="231" t="e">
        <f>C34/SUMIF(Продажи!$A$65:$A$81,$A34,Продажи!$C$65:$C$81)</f>
        <v>#DIV/0!</v>
      </c>
      <c r="D35" s="231" t="e">
        <f>D34/SUMIF(Продажи!$A$65:$A$81,$A34,Продажи!D$65:D$81)</f>
        <v>#DIV/0!</v>
      </c>
      <c r="E35" s="231" t="e">
        <f>E34/SUMIF(Продажи!$A$65:$A$81,$A34,Продажи!E$65:E$81)</f>
        <v>#DIV/0!</v>
      </c>
      <c r="F35" s="231" t="e">
        <f>F34/SUMIF(Продажи!$A$65:$A$81,$A34,Продажи!F$65:F$81)</f>
        <v>#DIV/0!</v>
      </c>
      <c r="G35" s="231" t="e">
        <f>G34/SUMIF(Продажи!$A$65:$A$81,$A34,Продажи!G$65:G$81)</f>
        <v>#DIV/0!</v>
      </c>
      <c r="H35" s="231" t="e">
        <f>H34/SUMIF(Продажи!$A$65:$A$81,$A34,Продажи!H$65:H$81)</f>
        <v>#DIV/0!</v>
      </c>
      <c r="I35" s="231" t="e">
        <f>I34/SUMIF(Продажи!$A$65:$A$81,$A34,Продажи!I$65:I$81)</f>
        <v>#DIV/0!</v>
      </c>
      <c r="J35" s="231" t="e">
        <f>J34/SUMIF(Продажи!$A$65:$A$81,$A34,Продажи!J$65:J$81)</f>
        <v>#DIV/0!</v>
      </c>
      <c r="K35" s="231" t="e">
        <f>K34/SUMIF(Продажи!$A$65:$A$81,$A34,Продажи!K$65:K$81)</f>
        <v>#DIV/0!</v>
      </c>
      <c r="L35" s="231" t="e">
        <f>L34/SUMIF(Продажи!$A$65:$A$81,$A34,Продажи!L$65:L$81)</f>
        <v>#DIV/0!</v>
      </c>
      <c r="M35" s="231" t="e">
        <f>M34/SUMIF(Продажи!$A$65:$A$81,$A34,Продажи!M$65:M$81)</f>
        <v>#DIV/0!</v>
      </c>
      <c r="N35" s="524" t="e">
        <f>N34/SUMIF(Продажи!$A$65:$A$81,$A34,Продажи!N$65:N$81)</f>
        <v>#DIV/0!</v>
      </c>
      <c r="O35" s="529" t="e">
        <f>O34/SUMIF(Продажи!$A$65:$A$81,$A34,Продажи!O$65:O$81)</f>
        <v>#DIV/0!</v>
      </c>
    </row>
    <row r="36" spans="1:15" ht="10.5">
      <c r="A36" s="125" t="s">
        <v>253</v>
      </c>
      <c r="B36" s="235" t="str">
        <f>VLOOKUP(A36,Классификаторы!$A:$B,2,FALSE)</f>
        <v>Продукт 4</v>
      </c>
      <c r="C36" s="228">
        <f>SUMIF(Продажи!$A$65:$A$81,$A36,Продажи!$C$65:$C$81)-SUMIF(Продажи!$A$102:$A$117,$A36,Продажи!$C$102:$C$117)</f>
        <v>0</v>
      </c>
      <c r="D36" s="228">
        <f>SUMIF(Продажи!$A$65:$A$81,$A36,Продажи!$C$65:$C$81)-SUMIF(Продажи!$A$102:$A$117,$A36,Продажи!$C$102:$C$117)</f>
        <v>0</v>
      </c>
      <c r="E36" s="228">
        <f>SUMIF(Продажи!$A$65:$A$81,$A36,Продажи!$C$65:$C$81)-SUMIF(Продажи!$A$102:$A$117,$A36,Продажи!$C$102:$C$117)</f>
        <v>0</v>
      </c>
      <c r="F36" s="228">
        <f>SUMIF(Продажи!$A$65:$A$81,$A36,Продажи!$C$65:$C$81)-SUMIF(Продажи!$A$102:$A$117,$A36,Продажи!$C$102:$C$117)</f>
        <v>0</v>
      </c>
      <c r="G36" s="228">
        <f>SUMIF(Продажи!$A$65:$A$81,$A36,Продажи!$C$65:$C$81)-SUMIF(Продажи!$A$102:$A$117,$A36,Продажи!$C$102:$C$117)</f>
        <v>0</v>
      </c>
      <c r="H36" s="228">
        <f>SUMIF(Продажи!$A$65:$A$81,$A36,Продажи!$C$65:$C$81)-SUMIF(Продажи!$A$102:$A$117,$A36,Продажи!$C$102:$C$117)</f>
        <v>0</v>
      </c>
      <c r="I36" s="228">
        <f>SUMIF(Продажи!$A$65:$A$81,$A36,Продажи!$C$65:$C$81)-SUMIF(Продажи!$A$102:$A$117,$A36,Продажи!$C$102:$C$117)</f>
        <v>0</v>
      </c>
      <c r="J36" s="228">
        <f>SUMIF(Продажи!$A$65:$A$81,$A36,Продажи!$C$65:$C$81)-SUMIF(Продажи!$A$102:$A$117,$A36,Продажи!$C$102:$C$117)</f>
        <v>0</v>
      </c>
      <c r="K36" s="228">
        <f>SUMIF(Продажи!$A$65:$A$81,$A36,Продажи!$C$65:$C$81)-SUMIF(Продажи!$A$102:$A$117,$A36,Продажи!$C$102:$C$117)</f>
        <v>0</v>
      </c>
      <c r="L36" s="228">
        <f>SUMIF(Продажи!$A$65:$A$81,$A36,Продажи!$C$65:$C$81)-SUMIF(Продажи!$A$102:$A$117,$A36,Продажи!$C$102:$C$117)</f>
        <v>0</v>
      </c>
      <c r="M36" s="228">
        <f>SUMIF(Продажи!$A$65:$A$81,$A36,Продажи!$C$65:$C$81)-SUMIF(Продажи!$A$102:$A$117,$A36,Продажи!$C$102:$C$117)</f>
        <v>0</v>
      </c>
      <c r="N36" s="523">
        <f>SUMIF(Продажи!$A$65:$A$81,$A36,Продажи!$C$65:$C$81)-SUMIF(Продажи!$A$102:$A$117,$A36,Продажи!$C$102:$C$117)</f>
        <v>0</v>
      </c>
      <c r="O36" s="526">
        <f>SUMIF(Продажи!$A$65:$A$81,$A36,Продажи!$C$65:$C$81)-SUMIF(Продажи!$A$102:$A$117,$A36,Продажи!$C$102:$C$117)</f>
        <v>0</v>
      </c>
    </row>
    <row r="37" spans="1:15" ht="10.5">
      <c r="A37" s="236"/>
      <c r="B37" s="237" t="s">
        <v>142</v>
      </c>
      <c r="C37" s="231" t="e">
        <f>C36/SUMIF(Продажи!$A$65:$A$81,$A36,Продажи!$C$65:$C$81)</f>
        <v>#DIV/0!</v>
      </c>
      <c r="D37" s="231" t="e">
        <f>D36/SUMIF(Продажи!$A$65:$A$81,$A36,Продажи!D$65:D$81)</f>
        <v>#DIV/0!</v>
      </c>
      <c r="E37" s="231" t="e">
        <f>E36/SUMIF(Продажи!$A$65:$A$81,$A36,Продажи!E$65:E$81)</f>
        <v>#DIV/0!</v>
      </c>
      <c r="F37" s="231" t="e">
        <f>F36/SUMIF(Продажи!$A$65:$A$81,$A36,Продажи!F$65:F$81)</f>
        <v>#DIV/0!</v>
      </c>
      <c r="G37" s="231" t="e">
        <f>G36/SUMIF(Продажи!$A$65:$A$81,$A36,Продажи!G$65:G$81)</f>
        <v>#DIV/0!</v>
      </c>
      <c r="H37" s="231" t="e">
        <f>H36/SUMIF(Продажи!$A$65:$A$81,$A36,Продажи!H$65:H$81)</f>
        <v>#DIV/0!</v>
      </c>
      <c r="I37" s="231" t="e">
        <f>I36/SUMIF(Продажи!$A$65:$A$81,$A36,Продажи!I$65:I$81)</f>
        <v>#DIV/0!</v>
      </c>
      <c r="J37" s="231" t="e">
        <f>J36/SUMIF(Продажи!$A$65:$A$81,$A36,Продажи!J$65:J$81)</f>
        <v>#DIV/0!</v>
      </c>
      <c r="K37" s="231" t="e">
        <f>K36/SUMIF(Продажи!$A$65:$A$81,$A36,Продажи!K$65:K$81)</f>
        <v>#DIV/0!</v>
      </c>
      <c r="L37" s="231" t="e">
        <f>L36/SUMIF(Продажи!$A$65:$A$81,$A36,Продажи!L$65:L$81)</f>
        <v>#DIV/0!</v>
      </c>
      <c r="M37" s="231" t="e">
        <f>M36/SUMIF(Продажи!$A$65:$A$81,$A36,Продажи!M$65:M$81)</f>
        <v>#DIV/0!</v>
      </c>
      <c r="N37" s="524" t="e">
        <f>N36/SUMIF(Продажи!$A$65:$A$81,$A36,Продажи!N$65:N$81)</f>
        <v>#DIV/0!</v>
      </c>
      <c r="O37" s="529" t="e">
        <f>O36/SUMIF(Продажи!$A$65:$A$81,$A36,Продажи!O$65:O$81)</f>
        <v>#DIV/0!</v>
      </c>
    </row>
    <row r="38" spans="1:15" ht="10.5">
      <c r="A38" s="125" t="s">
        <v>254</v>
      </c>
      <c r="B38" s="235" t="str">
        <f>VLOOKUP(A38,Классификаторы!$A:$B,2,FALSE)</f>
        <v>Продукт 5</v>
      </c>
      <c r="C38" s="228">
        <f>SUMIF(Продажи!$A$65:$A$81,$A38,Продажи!$C$65:$C$81)-SUMIF(Продажи!$A$102:$A$117,$A38,Продажи!$C$102:$C$117)</f>
        <v>0</v>
      </c>
      <c r="D38" s="228">
        <f>SUMIF(Продажи!$A$65:$A$81,$A38,Продажи!$C$65:$C$81)-SUMIF(Продажи!$A$102:$A$117,$A38,Продажи!$C$102:$C$117)</f>
        <v>0</v>
      </c>
      <c r="E38" s="228">
        <f>SUMIF(Продажи!$A$65:$A$81,$A38,Продажи!$C$65:$C$81)-SUMIF(Продажи!$A$102:$A$117,$A38,Продажи!$C$102:$C$117)</f>
        <v>0</v>
      </c>
      <c r="F38" s="228">
        <f>SUMIF(Продажи!$A$65:$A$81,$A38,Продажи!$C$65:$C$81)-SUMIF(Продажи!$A$102:$A$117,$A38,Продажи!$C$102:$C$117)</f>
        <v>0</v>
      </c>
      <c r="G38" s="228">
        <f>SUMIF(Продажи!$A$65:$A$81,$A38,Продажи!$C$65:$C$81)-SUMIF(Продажи!$A$102:$A$117,$A38,Продажи!$C$102:$C$117)</f>
        <v>0</v>
      </c>
      <c r="H38" s="228">
        <f>SUMIF(Продажи!$A$65:$A$81,$A38,Продажи!$C$65:$C$81)-SUMIF(Продажи!$A$102:$A$117,$A38,Продажи!$C$102:$C$117)</f>
        <v>0</v>
      </c>
      <c r="I38" s="228">
        <f>SUMIF(Продажи!$A$65:$A$81,$A38,Продажи!$C$65:$C$81)-SUMIF(Продажи!$A$102:$A$117,$A38,Продажи!$C$102:$C$117)</f>
        <v>0</v>
      </c>
      <c r="J38" s="228">
        <f>SUMIF(Продажи!$A$65:$A$81,$A38,Продажи!$C$65:$C$81)-SUMIF(Продажи!$A$102:$A$117,$A38,Продажи!$C$102:$C$117)</f>
        <v>0</v>
      </c>
      <c r="K38" s="228">
        <f>SUMIF(Продажи!$A$65:$A$81,$A38,Продажи!$C$65:$C$81)-SUMIF(Продажи!$A$102:$A$117,$A38,Продажи!$C$102:$C$117)</f>
        <v>0</v>
      </c>
      <c r="L38" s="228">
        <f>SUMIF(Продажи!$A$65:$A$81,$A38,Продажи!$C$65:$C$81)-SUMIF(Продажи!$A$102:$A$117,$A38,Продажи!$C$102:$C$117)</f>
        <v>0</v>
      </c>
      <c r="M38" s="228">
        <f>SUMIF(Продажи!$A$65:$A$81,$A38,Продажи!$C$65:$C$81)-SUMIF(Продажи!$A$102:$A$117,$A38,Продажи!$C$102:$C$117)</f>
        <v>0</v>
      </c>
      <c r="N38" s="523">
        <f>SUMIF(Продажи!$A$65:$A$81,$A38,Продажи!$C$65:$C$81)-SUMIF(Продажи!$A$102:$A$117,$A38,Продажи!$C$102:$C$117)</f>
        <v>0</v>
      </c>
      <c r="O38" s="526">
        <f>SUMIF(Продажи!$A$65:$A$81,$A38,Продажи!$C$65:$C$81)-SUMIF(Продажи!$A$102:$A$117,$A38,Продажи!$C$102:$C$117)</f>
        <v>0</v>
      </c>
    </row>
    <row r="39" spans="1:15" ht="10.5">
      <c r="A39" s="236"/>
      <c r="B39" s="237" t="s">
        <v>142</v>
      </c>
      <c r="C39" s="231" t="e">
        <f>C38/SUMIF(Продажи!$A$65:$A$81,$A38,Продажи!$C$65:$C$81)</f>
        <v>#DIV/0!</v>
      </c>
      <c r="D39" s="231" t="e">
        <f>D38/SUMIF(Продажи!$A$65:$A$81,$A38,Продажи!D$65:D$81)</f>
        <v>#DIV/0!</v>
      </c>
      <c r="E39" s="231" t="e">
        <f>E38/SUMIF(Продажи!$A$65:$A$81,$A38,Продажи!E$65:E$81)</f>
        <v>#DIV/0!</v>
      </c>
      <c r="F39" s="231" t="e">
        <f>F38/SUMIF(Продажи!$A$65:$A$81,$A38,Продажи!F$65:F$81)</f>
        <v>#DIV/0!</v>
      </c>
      <c r="G39" s="231" t="e">
        <f>G38/SUMIF(Продажи!$A$65:$A$81,$A38,Продажи!G$65:G$81)</f>
        <v>#DIV/0!</v>
      </c>
      <c r="H39" s="231" t="e">
        <f>H38/SUMIF(Продажи!$A$65:$A$81,$A38,Продажи!H$65:H$81)</f>
        <v>#DIV/0!</v>
      </c>
      <c r="I39" s="231" t="e">
        <f>I38/SUMIF(Продажи!$A$65:$A$81,$A38,Продажи!I$65:I$81)</f>
        <v>#DIV/0!</v>
      </c>
      <c r="J39" s="231" t="e">
        <f>J38/SUMIF(Продажи!$A$65:$A$81,$A38,Продажи!J$65:J$81)</f>
        <v>#DIV/0!</v>
      </c>
      <c r="K39" s="231" t="e">
        <f>K38/SUMIF(Продажи!$A$65:$A$81,$A38,Продажи!K$65:K$81)</f>
        <v>#DIV/0!</v>
      </c>
      <c r="L39" s="231" t="e">
        <f>L38/SUMIF(Продажи!$A$65:$A$81,$A38,Продажи!L$65:L$81)</f>
        <v>#DIV/0!</v>
      </c>
      <c r="M39" s="231" t="e">
        <f>M38/SUMIF(Продажи!$A$65:$A$81,$A38,Продажи!M$65:M$81)</f>
        <v>#DIV/0!</v>
      </c>
      <c r="N39" s="524" t="e">
        <f>N38/SUMIF(Продажи!$A$65:$A$81,$A38,Продажи!N$65:N$81)</f>
        <v>#DIV/0!</v>
      </c>
      <c r="O39" s="529" t="e">
        <f>O38/SUMIF(Продажи!$A$65:$A$81,$A38,Продажи!O$65:O$81)</f>
        <v>#DIV/0!</v>
      </c>
    </row>
    <row r="40" spans="1:15" ht="10.5">
      <c r="A40" s="125" t="s">
        <v>255</v>
      </c>
      <c r="B40" s="235" t="str">
        <f>VLOOKUP(A40,Классификаторы!$A:$B,2,FALSE)</f>
        <v>Продукт 6</v>
      </c>
      <c r="C40" s="228">
        <f>SUMIF(Продажи!$A$65:$A$81,$A40,Продажи!$C$65:$C$81)-SUMIF(Продажи!$A$102:$A$117,$A40,Продажи!$C$102:$C$117)</f>
        <v>0</v>
      </c>
      <c r="D40" s="228">
        <f>SUMIF(Продажи!$A$65:$A$81,$A40,Продажи!$C$65:$C$81)-SUMIF(Продажи!$A$102:$A$117,$A40,Продажи!$C$102:$C$117)</f>
        <v>0</v>
      </c>
      <c r="E40" s="228">
        <f>SUMIF(Продажи!$A$65:$A$81,$A40,Продажи!$C$65:$C$81)-SUMIF(Продажи!$A$102:$A$117,$A40,Продажи!$C$102:$C$117)</f>
        <v>0</v>
      </c>
      <c r="F40" s="228">
        <f>SUMIF(Продажи!$A$65:$A$81,$A40,Продажи!$C$65:$C$81)-SUMIF(Продажи!$A$102:$A$117,$A40,Продажи!$C$102:$C$117)</f>
        <v>0</v>
      </c>
      <c r="G40" s="228">
        <f>SUMIF(Продажи!$A$65:$A$81,$A40,Продажи!$C$65:$C$81)-SUMIF(Продажи!$A$102:$A$117,$A40,Продажи!$C$102:$C$117)</f>
        <v>0</v>
      </c>
      <c r="H40" s="228">
        <f>SUMIF(Продажи!$A$65:$A$81,$A40,Продажи!$C$65:$C$81)-SUMIF(Продажи!$A$102:$A$117,$A40,Продажи!$C$102:$C$117)</f>
        <v>0</v>
      </c>
      <c r="I40" s="228">
        <f>SUMIF(Продажи!$A$65:$A$81,$A40,Продажи!$C$65:$C$81)-SUMIF(Продажи!$A$102:$A$117,$A40,Продажи!$C$102:$C$117)</f>
        <v>0</v>
      </c>
      <c r="J40" s="228">
        <f>SUMIF(Продажи!$A$65:$A$81,$A40,Продажи!$C$65:$C$81)-SUMIF(Продажи!$A$102:$A$117,$A40,Продажи!$C$102:$C$117)</f>
        <v>0</v>
      </c>
      <c r="K40" s="228">
        <f>SUMIF(Продажи!$A$65:$A$81,$A40,Продажи!$C$65:$C$81)-SUMIF(Продажи!$A$102:$A$117,$A40,Продажи!$C$102:$C$117)</f>
        <v>0</v>
      </c>
      <c r="L40" s="228">
        <f>SUMIF(Продажи!$A$65:$A$81,$A40,Продажи!$C$65:$C$81)-SUMIF(Продажи!$A$102:$A$117,$A40,Продажи!$C$102:$C$117)</f>
        <v>0</v>
      </c>
      <c r="M40" s="228">
        <f>SUMIF(Продажи!$A$65:$A$81,$A40,Продажи!$C$65:$C$81)-SUMIF(Продажи!$A$102:$A$117,$A40,Продажи!$C$102:$C$117)</f>
        <v>0</v>
      </c>
      <c r="N40" s="523">
        <f>SUMIF(Продажи!$A$65:$A$81,$A40,Продажи!$C$65:$C$81)-SUMIF(Продажи!$A$102:$A$117,$A40,Продажи!$C$102:$C$117)</f>
        <v>0</v>
      </c>
      <c r="O40" s="526">
        <f>SUMIF(Продажи!$A$65:$A$81,$A40,Продажи!$C$65:$C$81)-SUMIF(Продажи!$A$102:$A$117,$A40,Продажи!$C$102:$C$117)</f>
        <v>0</v>
      </c>
    </row>
    <row r="41" spans="1:15" ht="10.5">
      <c r="A41" s="236"/>
      <c r="B41" s="237" t="s">
        <v>142</v>
      </c>
      <c r="C41" s="231" t="e">
        <f>C40/SUMIF(Продажи!$A$65:$A$81,$A40,Продажи!$C$65:$C$81)</f>
        <v>#DIV/0!</v>
      </c>
      <c r="D41" s="231" t="e">
        <f>D40/SUMIF(Продажи!$A$65:$A$81,$A40,Продажи!D$65:D$81)</f>
        <v>#DIV/0!</v>
      </c>
      <c r="E41" s="231" t="e">
        <f>E40/SUMIF(Продажи!$A$65:$A$81,$A40,Продажи!E$65:E$81)</f>
        <v>#DIV/0!</v>
      </c>
      <c r="F41" s="231" t="e">
        <f>F40/SUMIF(Продажи!$A$65:$A$81,$A40,Продажи!F$65:F$81)</f>
        <v>#DIV/0!</v>
      </c>
      <c r="G41" s="231" t="e">
        <f>G40/SUMIF(Продажи!$A$65:$A$81,$A40,Продажи!G$65:G$81)</f>
        <v>#DIV/0!</v>
      </c>
      <c r="H41" s="231" t="e">
        <f>H40/SUMIF(Продажи!$A$65:$A$81,$A40,Продажи!H$65:H$81)</f>
        <v>#DIV/0!</v>
      </c>
      <c r="I41" s="231" t="e">
        <f>I40/SUMIF(Продажи!$A$65:$A$81,$A40,Продажи!I$65:I$81)</f>
        <v>#DIV/0!</v>
      </c>
      <c r="J41" s="231" t="e">
        <f>J40/SUMIF(Продажи!$A$65:$A$81,$A40,Продажи!J$65:J$81)</f>
        <v>#DIV/0!</v>
      </c>
      <c r="K41" s="231" t="e">
        <f>K40/SUMIF(Продажи!$A$65:$A$81,$A40,Продажи!K$65:K$81)</f>
        <v>#DIV/0!</v>
      </c>
      <c r="L41" s="231" t="e">
        <f>L40/SUMIF(Продажи!$A$65:$A$81,$A40,Продажи!L$65:L$81)</f>
        <v>#DIV/0!</v>
      </c>
      <c r="M41" s="231" t="e">
        <f>M40/SUMIF(Продажи!$A$65:$A$81,$A40,Продажи!M$65:M$81)</f>
        <v>#DIV/0!</v>
      </c>
      <c r="N41" s="524" t="e">
        <f>N40/SUMIF(Продажи!$A$65:$A$81,$A40,Продажи!N$65:N$81)</f>
        <v>#DIV/0!</v>
      </c>
      <c r="O41" s="529" t="e">
        <f>O40/SUMIF(Продажи!$A$65:$A$81,$A40,Продажи!O$65:O$81)</f>
        <v>#DIV/0!</v>
      </c>
    </row>
    <row r="42" spans="1:15" ht="10.5">
      <c r="A42" s="125" t="s">
        <v>256</v>
      </c>
      <c r="B42" s="235" t="str">
        <f>VLOOKUP(A42,Классификаторы!$A:$B,2,FALSE)</f>
        <v>Продукт 7</v>
      </c>
      <c r="C42" s="228">
        <f>SUMIF(Продажи!$A$65:$A$81,$A42,Продажи!$C$65:$C$81)-SUMIF(Продажи!$A$102:$A$117,$A42,Продажи!$C$102:$C$117)</f>
        <v>0</v>
      </c>
      <c r="D42" s="228">
        <f>SUMIF(Продажи!$A$65:$A$81,$A42,Продажи!$C$65:$C$81)-SUMIF(Продажи!$A$102:$A$117,$A42,Продажи!$C$102:$C$117)</f>
        <v>0</v>
      </c>
      <c r="E42" s="228">
        <f>SUMIF(Продажи!$A$65:$A$81,$A42,Продажи!$C$65:$C$81)-SUMIF(Продажи!$A$102:$A$117,$A42,Продажи!$C$102:$C$117)</f>
        <v>0</v>
      </c>
      <c r="F42" s="228">
        <f>SUMIF(Продажи!$A$65:$A$81,$A42,Продажи!$C$65:$C$81)-SUMIF(Продажи!$A$102:$A$117,$A42,Продажи!$C$102:$C$117)</f>
        <v>0</v>
      </c>
      <c r="G42" s="228">
        <f>SUMIF(Продажи!$A$65:$A$81,$A42,Продажи!$C$65:$C$81)-SUMIF(Продажи!$A$102:$A$117,$A42,Продажи!$C$102:$C$117)</f>
        <v>0</v>
      </c>
      <c r="H42" s="228">
        <f>SUMIF(Продажи!$A$65:$A$81,$A42,Продажи!$C$65:$C$81)-SUMIF(Продажи!$A$102:$A$117,$A42,Продажи!$C$102:$C$117)</f>
        <v>0</v>
      </c>
      <c r="I42" s="228">
        <f>SUMIF(Продажи!$A$65:$A$81,$A42,Продажи!$C$65:$C$81)-SUMIF(Продажи!$A$102:$A$117,$A42,Продажи!$C$102:$C$117)</f>
        <v>0</v>
      </c>
      <c r="J42" s="228">
        <f>SUMIF(Продажи!$A$65:$A$81,$A42,Продажи!$C$65:$C$81)-SUMIF(Продажи!$A$102:$A$117,$A42,Продажи!$C$102:$C$117)</f>
        <v>0</v>
      </c>
      <c r="K42" s="228">
        <f>SUMIF(Продажи!$A$65:$A$81,$A42,Продажи!$C$65:$C$81)-SUMIF(Продажи!$A$102:$A$117,$A42,Продажи!$C$102:$C$117)</f>
        <v>0</v>
      </c>
      <c r="L42" s="228">
        <f>SUMIF(Продажи!$A$65:$A$81,$A42,Продажи!$C$65:$C$81)-SUMIF(Продажи!$A$102:$A$117,$A42,Продажи!$C$102:$C$117)</f>
        <v>0</v>
      </c>
      <c r="M42" s="228">
        <f>SUMIF(Продажи!$A$65:$A$81,$A42,Продажи!$C$65:$C$81)-SUMIF(Продажи!$A$102:$A$117,$A42,Продажи!$C$102:$C$117)</f>
        <v>0</v>
      </c>
      <c r="N42" s="523">
        <f>SUMIF(Продажи!$A$65:$A$81,$A42,Продажи!$C$65:$C$81)-SUMIF(Продажи!$A$102:$A$117,$A42,Продажи!$C$102:$C$117)</f>
        <v>0</v>
      </c>
      <c r="O42" s="526">
        <f>SUMIF(Продажи!$A$65:$A$81,$A42,Продажи!$C$65:$C$81)-SUMIF(Продажи!$A$102:$A$117,$A42,Продажи!$C$102:$C$117)</f>
        <v>0</v>
      </c>
    </row>
    <row r="43" spans="1:15" ht="10.5">
      <c r="A43" s="236"/>
      <c r="B43" s="237" t="s">
        <v>142</v>
      </c>
      <c r="C43" s="231" t="e">
        <f>C42/SUMIF(Продажи!$A$65:$A$81,$A42,Продажи!$C$65:$C$81)</f>
        <v>#DIV/0!</v>
      </c>
      <c r="D43" s="231" t="e">
        <f>D42/SUMIF(Продажи!$A$65:$A$81,$A42,Продажи!D$65:D$81)</f>
        <v>#DIV/0!</v>
      </c>
      <c r="E43" s="231" t="e">
        <f>E42/SUMIF(Продажи!$A$65:$A$81,$A42,Продажи!E$65:E$81)</f>
        <v>#DIV/0!</v>
      </c>
      <c r="F43" s="231" t="e">
        <f>F42/SUMIF(Продажи!$A$65:$A$81,$A42,Продажи!F$65:F$81)</f>
        <v>#DIV/0!</v>
      </c>
      <c r="G43" s="231" t="e">
        <f>G42/SUMIF(Продажи!$A$65:$A$81,$A42,Продажи!G$65:G$81)</f>
        <v>#DIV/0!</v>
      </c>
      <c r="H43" s="231" t="e">
        <f>H42/SUMIF(Продажи!$A$65:$A$81,$A42,Продажи!H$65:H$81)</f>
        <v>#DIV/0!</v>
      </c>
      <c r="I43" s="231" t="e">
        <f>I42/SUMIF(Продажи!$A$65:$A$81,$A42,Продажи!I$65:I$81)</f>
        <v>#DIV/0!</v>
      </c>
      <c r="J43" s="231" t="e">
        <f>J42/SUMIF(Продажи!$A$65:$A$81,$A42,Продажи!J$65:J$81)</f>
        <v>#DIV/0!</v>
      </c>
      <c r="K43" s="231" t="e">
        <f>K42/SUMIF(Продажи!$A$65:$A$81,$A42,Продажи!K$65:K$81)</f>
        <v>#DIV/0!</v>
      </c>
      <c r="L43" s="231" t="e">
        <f>L42/SUMIF(Продажи!$A$65:$A$81,$A42,Продажи!L$65:L$81)</f>
        <v>#DIV/0!</v>
      </c>
      <c r="M43" s="231" t="e">
        <f>M42/SUMIF(Продажи!$A$65:$A$81,$A42,Продажи!M$65:M$81)</f>
        <v>#DIV/0!</v>
      </c>
      <c r="N43" s="524" t="e">
        <f>N42/SUMIF(Продажи!$A$65:$A$81,$A42,Продажи!N$65:N$81)</f>
        <v>#DIV/0!</v>
      </c>
      <c r="O43" s="529" t="e">
        <f>O42/SUMIF(Продажи!$A$65:$A$81,$A42,Продажи!O$65:O$81)</f>
        <v>#DIV/0!</v>
      </c>
    </row>
    <row r="44" spans="1:15" ht="10.5">
      <c r="A44" s="125" t="s">
        <v>257</v>
      </c>
      <c r="B44" s="235" t="str">
        <f>VLOOKUP(A44,Классификаторы!$A:$B,2,FALSE)</f>
        <v>Продукт 8</v>
      </c>
      <c r="C44" s="228">
        <f>SUMIF(Продажи!$A$65:$A$81,$A44,Продажи!$C$65:$C$81)-SUMIF(Продажи!$A$102:$A$117,$A44,Продажи!$C$102:$C$117)</f>
        <v>0</v>
      </c>
      <c r="D44" s="228">
        <f>SUMIF(Продажи!$A$65:$A$81,$A44,Продажи!$C$65:$C$81)-SUMIF(Продажи!$A$102:$A$117,$A44,Продажи!$C$102:$C$117)</f>
        <v>0</v>
      </c>
      <c r="E44" s="228">
        <f>SUMIF(Продажи!$A$65:$A$81,$A44,Продажи!$C$65:$C$81)-SUMIF(Продажи!$A$102:$A$117,$A44,Продажи!$C$102:$C$117)</f>
        <v>0</v>
      </c>
      <c r="F44" s="228">
        <f>SUMIF(Продажи!$A$65:$A$81,$A44,Продажи!$C$65:$C$81)-SUMIF(Продажи!$A$102:$A$117,$A44,Продажи!$C$102:$C$117)</f>
        <v>0</v>
      </c>
      <c r="G44" s="228">
        <f>SUMIF(Продажи!$A$65:$A$81,$A44,Продажи!$C$65:$C$81)-SUMIF(Продажи!$A$102:$A$117,$A44,Продажи!$C$102:$C$117)</f>
        <v>0</v>
      </c>
      <c r="H44" s="228">
        <f>SUMIF(Продажи!$A$65:$A$81,$A44,Продажи!$C$65:$C$81)-SUMIF(Продажи!$A$102:$A$117,$A44,Продажи!$C$102:$C$117)</f>
        <v>0</v>
      </c>
      <c r="I44" s="228">
        <f>SUMIF(Продажи!$A$65:$A$81,$A44,Продажи!$C$65:$C$81)-SUMIF(Продажи!$A$102:$A$117,$A44,Продажи!$C$102:$C$117)</f>
        <v>0</v>
      </c>
      <c r="J44" s="228">
        <f>SUMIF(Продажи!$A$65:$A$81,$A44,Продажи!$C$65:$C$81)-SUMIF(Продажи!$A$102:$A$117,$A44,Продажи!$C$102:$C$117)</f>
        <v>0</v>
      </c>
      <c r="K44" s="228">
        <f>SUMIF(Продажи!$A$65:$A$81,$A44,Продажи!$C$65:$C$81)-SUMIF(Продажи!$A$102:$A$117,$A44,Продажи!$C$102:$C$117)</f>
        <v>0</v>
      </c>
      <c r="L44" s="228">
        <f>SUMIF(Продажи!$A$65:$A$81,$A44,Продажи!$C$65:$C$81)-SUMIF(Продажи!$A$102:$A$117,$A44,Продажи!$C$102:$C$117)</f>
        <v>0</v>
      </c>
      <c r="M44" s="228">
        <f>SUMIF(Продажи!$A$65:$A$81,$A44,Продажи!$C$65:$C$81)-SUMIF(Продажи!$A$102:$A$117,$A44,Продажи!$C$102:$C$117)</f>
        <v>0</v>
      </c>
      <c r="N44" s="523">
        <f>SUMIF(Продажи!$A$65:$A$81,$A44,Продажи!$C$65:$C$81)-SUMIF(Продажи!$A$102:$A$117,$A44,Продажи!$C$102:$C$117)</f>
        <v>0</v>
      </c>
      <c r="O44" s="526">
        <f>SUMIF(Продажи!$A$65:$A$81,$A44,Продажи!$C$65:$C$81)-SUMIF(Продажи!$A$102:$A$117,$A44,Продажи!$C$102:$C$117)</f>
        <v>0</v>
      </c>
    </row>
    <row r="45" spans="1:15" ht="10.5">
      <c r="A45" s="236"/>
      <c r="B45" s="237" t="s">
        <v>142</v>
      </c>
      <c r="C45" s="231" t="e">
        <f>C44/SUMIF(Продажи!$A$65:$A$81,$A44,Продажи!$C$65:$C$81)</f>
        <v>#DIV/0!</v>
      </c>
      <c r="D45" s="231" t="e">
        <f>D44/SUMIF(Продажи!$A$65:$A$81,$A44,Продажи!D$65:D$81)</f>
        <v>#DIV/0!</v>
      </c>
      <c r="E45" s="231" t="e">
        <f>E44/SUMIF(Продажи!$A$65:$A$81,$A44,Продажи!E$65:E$81)</f>
        <v>#DIV/0!</v>
      </c>
      <c r="F45" s="231" t="e">
        <f>F44/SUMIF(Продажи!$A$65:$A$81,$A44,Продажи!F$65:F$81)</f>
        <v>#DIV/0!</v>
      </c>
      <c r="G45" s="231" t="e">
        <f>G44/SUMIF(Продажи!$A$65:$A$81,$A44,Продажи!G$65:G$81)</f>
        <v>#DIV/0!</v>
      </c>
      <c r="H45" s="231" t="e">
        <f>H44/SUMIF(Продажи!$A$65:$A$81,$A44,Продажи!H$65:H$81)</f>
        <v>#DIV/0!</v>
      </c>
      <c r="I45" s="231" t="e">
        <f>I44/SUMIF(Продажи!$A$65:$A$81,$A44,Продажи!I$65:I$81)</f>
        <v>#DIV/0!</v>
      </c>
      <c r="J45" s="231" t="e">
        <f>J44/SUMIF(Продажи!$A$65:$A$81,$A44,Продажи!J$65:J$81)</f>
        <v>#DIV/0!</v>
      </c>
      <c r="K45" s="231" t="e">
        <f>K44/SUMIF(Продажи!$A$65:$A$81,$A44,Продажи!K$65:K$81)</f>
        <v>#DIV/0!</v>
      </c>
      <c r="L45" s="231" t="e">
        <f>L44/SUMIF(Продажи!$A$65:$A$81,$A44,Продажи!L$65:L$81)</f>
        <v>#DIV/0!</v>
      </c>
      <c r="M45" s="231" t="e">
        <f>M44/SUMIF(Продажи!$A$65:$A$81,$A44,Продажи!M$65:M$81)</f>
        <v>#DIV/0!</v>
      </c>
      <c r="N45" s="524" t="e">
        <f>N44/SUMIF(Продажи!$A$65:$A$81,$A44,Продажи!N$65:N$81)</f>
        <v>#DIV/0!</v>
      </c>
      <c r="O45" s="529" t="e">
        <f>O44/SUMIF(Продажи!$A$65:$A$81,$A44,Продажи!O$65:O$81)</f>
        <v>#DIV/0!</v>
      </c>
    </row>
    <row r="46" spans="1:15" ht="10.5">
      <c r="A46" s="125" t="s">
        <v>258</v>
      </c>
      <c r="B46" s="235" t="str">
        <f>VLOOKUP(A46,Классификаторы!$A:$B,2,FALSE)</f>
        <v>Продукт 9</v>
      </c>
      <c r="C46" s="228">
        <f>SUMIF(Продажи!$A$65:$A$81,$A46,Продажи!$C$65:$C$81)-SUMIF(Продажи!$A$102:$A$117,$A46,Продажи!$C$102:$C$117)</f>
        <v>0</v>
      </c>
      <c r="D46" s="228">
        <f>SUMIF(Продажи!$A$65:$A$81,$A46,Продажи!$C$65:$C$81)-SUMIF(Продажи!$A$102:$A$117,$A46,Продажи!$C$102:$C$117)</f>
        <v>0</v>
      </c>
      <c r="E46" s="228">
        <f>SUMIF(Продажи!$A$65:$A$81,$A46,Продажи!$C$65:$C$81)-SUMIF(Продажи!$A$102:$A$117,$A46,Продажи!$C$102:$C$117)</f>
        <v>0</v>
      </c>
      <c r="F46" s="228">
        <f>SUMIF(Продажи!$A$65:$A$81,$A46,Продажи!$C$65:$C$81)-SUMIF(Продажи!$A$102:$A$117,$A46,Продажи!$C$102:$C$117)</f>
        <v>0</v>
      </c>
      <c r="G46" s="228">
        <f>SUMIF(Продажи!$A$65:$A$81,$A46,Продажи!$C$65:$C$81)-SUMIF(Продажи!$A$102:$A$117,$A46,Продажи!$C$102:$C$117)</f>
        <v>0</v>
      </c>
      <c r="H46" s="228">
        <f>SUMIF(Продажи!$A$65:$A$81,$A46,Продажи!$C$65:$C$81)-SUMIF(Продажи!$A$102:$A$117,$A46,Продажи!$C$102:$C$117)</f>
        <v>0</v>
      </c>
      <c r="I46" s="228">
        <f>SUMIF(Продажи!$A$65:$A$81,$A46,Продажи!$C$65:$C$81)-SUMIF(Продажи!$A$102:$A$117,$A46,Продажи!$C$102:$C$117)</f>
        <v>0</v>
      </c>
      <c r="J46" s="228">
        <f>SUMIF(Продажи!$A$65:$A$81,$A46,Продажи!$C$65:$C$81)-SUMIF(Продажи!$A$102:$A$117,$A46,Продажи!$C$102:$C$117)</f>
        <v>0</v>
      </c>
      <c r="K46" s="228">
        <f>SUMIF(Продажи!$A$65:$A$81,$A46,Продажи!$C$65:$C$81)-SUMIF(Продажи!$A$102:$A$117,$A46,Продажи!$C$102:$C$117)</f>
        <v>0</v>
      </c>
      <c r="L46" s="228">
        <f>SUMIF(Продажи!$A$65:$A$81,$A46,Продажи!$C$65:$C$81)-SUMIF(Продажи!$A$102:$A$117,$A46,Продажи!$C$102:$C$117)</f>
        <v>0</v>
      </c>
      <c r="M46" s="228">
        <f>SUMIF(Продажи!$A$65:$A$81,$A46,Продажи!$C$65:$C$81)-SUMIF(Продажи!$A$102:$A$117,$A46,Продажи!$C$102:$C$117)</f>
        <v>0</v>
      </c>
      <c r="N46" s="523">
        <f>SUMIF(Продажи!$A$65:$A$81,$A46,Продажи!$C$65:$C$81)-SUMIF(Продажи!$A$102:$A$117,$A46,Продажи!$C$102:$C$117)</f>
        <v>0</v>
      </c>
      <c r="O46" s="526">
        <f>SUMIF(Продажи!$A$65:$A$81,$A46,Продажи!$C$65:$C$81)-SUMIF(Продажи!$A$102:$A$117,$A46,Продажи!$C$102:$C$117)</f>
        <v>0</v>
      </c>
    </row>
    <row r="47" spans="1:15" ht="10.5">
      <c r="A47" s="236"/>
      <c r="B47" s="237" t="s">
        <v>142</v>
      </c>
      <c r="C47" s="231" t="e">
        <f>C46/SUMIF(Продажи!$A$65:$A$81,$A46,Продажи!$C$65:$C$81)</f>
        <v>#DIV/0!</v>
      </c>
      <c r="D47" s="231" t="e">
        <f>D46/SUMIF(Продажи!$A$65:$A$81,$A46,Продажи!D$65:D$81)</f>
        <v>#DIV/0!</v>
      </c>
      <c r="E47" s="231" t="e">
        <f>E46/SUMIF(Продажи!$A$65:$A$81,$A46,Продажи!E$65:E$81)</f>
        <v>#DIV/0!</v>
      </c>
      <c r="F47" s="231" t="e">
        <f>F46/SUMIF(Продажи!$A$65:$A$81,$A46,Продажи!F$65:F$81)</f>
        <v>#DIV/0!</v>
      </c>
      <c r="G47" s="231" t="e">
        <f>G46/SUMIF(Продажи!$A$65:$A$81,$A46,Продажи!G$65:G$81)</f>
        <v>#DIV/0!</v>
      </c>
      <c r="H47" s="231" t="e">
        <f>H46/SUMIF(Продажи!$A$65:$A$81,$A46,Продажи!H$65:H$81)</f>
        <v>#DIV/0!</v>
      </c>
      <c r="I47" s="231" t="e">
        <f>I46/SUMIF(Продажи!$A$65:$A$81,$A46,Продажи!I$65:I$81)</f>
        <v>#DIV/0!</v>
      </c>
      <c r="J47" s="231" t="e">
        <f>J46/SUMIF(Продажи!$A$65:$A$81,$A46,Продажи!J$65:J$81)</f>
        <v>#DIV/0!</v>
      </c>
      <c r="K47" s="231" t="e">
        <f>K46/SUMIF(Продажи!$A$65:$A$81,$A46,Продажи!K$65:K$81)</f>
        <v>#DIV/0!</v>
      </c>
      <c r="L47" s="231" t="e">
        <f>L46/SUMIF(Продажи!$A$65:$A$81,$A46,Продажи!L$65:L$81)</f>
        <v>#DIV/0!</v>
      </c>
      <c r="M47" s="231" t="e">
        <f>M46/SUMIF(Продажи!$A$65:$A$81,$A46,Продажи!M$65:M$81)</f>
        <v>#DIV/0!</v>
      </c>
      <c r="N47" s="524" t="e">
        <f>N46/SUMIF(Продажи!$A$65:$A$81,$A46,Продажи!N$65:N$81)</f>
        <v>#DIV/0!</v>
      </c>
      <c r="O47" s="529" t="e">
        <f>O46/SUMIF(Продажи!$A$65:$A$81,$A46,Продажи!O$65:O$81)</f>
        <v>#DIV/0!</v>
      </c>
    </row>
    <row r="48" spans="1:15" ht="10.5">
      <c r="A48" s="125" t="s">
        <v>259</v>
      </c>
      <c r="B48" s="235" t="str">
        <f>VLOOKUP(A48,Классификаторы!$A:$B,2,FALSE)</f>
        <v>Продукт 10</v>
      </c>
      <c r="C48" s="228">
        <f>SUMIF(Продажи!$A$65:$A$81,$A48,Продажи!$C$65:$C$81)-SUMIF(Продажи!$A$102:$A$117,$A48,Продажи!$C$102:$C$117)</f>
        <v>0</v>
      </c>
      <c r="D48" s="228">
        <f>SUMIF(Продажи!$A$65:$A$81,$A48,Продажи!$C$65:$C$81)-SUMIF(Продажи!$A$102:$A$117,$A48,Продажи!$C$102:$C$117)</f>
        <v>0</v>
      </c>
      <c r="E48" s="228">
        <f>SUMIF(Продажи!$A$65:$A$81,$A48,Продажи!$C$65:$C$81)-SUMIF(Продажи!$A$102:$A$117,$A48,Продажи!$C$102:$C$117)</f>
        <v>0</v>
      </c>
      <c r="F48" s="228">
        <f>SUMIF(Продажи!$A$65:$A$81,$A48,Продажи!$C$65:$C$81)-SUMIF(Продажи!$A$102:$A$117,$A48,Продажи!$C$102:$C$117)</f>
        <v>0</v>
      </c>
      <c r="G48" s="228">
        <f>SUMIF(Продажи!$A$65:$A$81,$A48,Продажи!$C$65:$C$81)-SUMIF(Продажи!$A$102:$A$117,$A48,Продажи!$C$102:$C$117)</f>
        <v>0</v>
      </c>
      <c r="H48" s="228">
        <f>SUMIF(Продажи!$A$65:$A$81,$A48,Продажи!$C$65:$C$81)-SUMIF(Продажи!$A$102:$A$117,$A48,Продажи!$C$102:$C$117)</f>
        <v>0</v>
      </c>
      <c r="I48" s="228">
        <f>SUMIF(Продажи!$A$65:$A$81,$A48,Продажи!$C$65:$C$81)-SUMIF(Продажи!$A$102:$A$117,$A48,Продажи!$C$102:$C$117)</f>
        <v>0</v>
      </c>
      <c r="J48" s="228">
        <f>SUMIF(Продажи!$A$65:$A$81,$A48,Продажи!$C$65:$C$81)-SUMIF(Продажи!$A$102:$A$117,$A48,Продажи!$C$102:$C$117)</f>
        <v>0</v>
      </c>
      <c r="K48" s="228">
        <f>SUMIF(Продажи!$A$65:$A$81,$A48,Продажи!$C$65:$C$81)-SUMIF(Продажи!$A$102:$A$117,$A48,Продажи!$C$102:$C$117)</f>
        <v>0</v>
      </c>
      <c r="L48" s="228">
        <f>SUMIF(Продажи!$A$65:$A$81,$A48,Продажи!$C$65:$C$81)-SUMIF(Продажи!$A$102:$A$117,$A48,Продажи!$C$102:$C$117)</f>
        <v>0</v>
      </c>
      <c r="M48" s="228">
        <f>SUMIF(Продажи!$A$65:$A$81,$A48,Продажи!$C$65:$C$81)-SUMIF(Продажи!$A$102:$A$117,$A48,Продажи!$C$102:$C$117)</f>
        <v>0</v>
      </c>
      <c r="N48" s="523">
        <f>SUMIF(Продажи!$A$65:$A$81,$A48,Продажи!$C$65:$C$81)-SUMIF(Продажи!$A$102:$A$117,$A48,Продажи!$C$102:$C$117)</f>
        <v>0</v>
      </c>
      <c r="O48" s="526">
        <f>SUMIF(Продажи!$A$65:$A$81,$A48,Продажи!$C$65:$C$81)-SUMIF(Продажи!$A$102:$A$117,$A48,Продажи!$C$102:$C$117)</f>
        <v>0</v>
      </c>
    </row>
    <row r="49" spans="1:15" ht="10.5">
      <c r="A49" s="236"/>
      <c r="B49" s="237" t="s">
        <v>142</v>
      </c>
      <c r="C49" s="231" t="e">
        <f>C48/SUMIF(Продажи!$A$65:$A$81,$A48,Продажи!$C$65:$C$81)</f>
        <v>#DIV/0!</v>
      </c>
      <c r="D49" s="231" t="e">
        <f>D48/SUMIF(Продажи!$A$65:$A$81,$A48,Продажи!D$65:D$81)</f>
        <v>#DIV/0!</v>
      </c>
      <c r="E49" s="231" t="e">
        <f>E48/SUMIF(Продажи!$A$65:$A$81,$A48,Продажи!E$65:E$81)</f>
        <v>#DIV/0!</v>
      </c>
      <c r="F49" s="231" t="e">
        <f>F48/SUMIF(Продажи!$A$65:$A$81,$A48,Продажи!F$65:F$81)</f>
        <v>#DIV/0!</v>
      </c>
      <c r="G49" s="231" t="e">
        <f>G48/SUMIF(Продажи!$A$65:$A$81,$A48,Продажи!G$65:G$81)</f>
        <v>#DIV/0!</v>
      </c>
      <c r="H49" s="231" t="e">
        <f>H48/SUMIF(Продажи!$A$65:$A$81,$A48,Продажи!H$65:H$81)</f>
        <v>#DIV/0!</v>
      </c>
      <c r="I49" s="231" t="e">
        <f>I48/SUMIF(Продажи!$A$65:$A$81,$A48,Продажи!I$65:I$81)</f>
        <v>#DIV/0!</v>
      </c>
      <c r="J49" s="231" t="e">
        <f>J48/SUMIF(Продажи!$A$65:$A$81,$A48,Продажи!J$65:J$81)</f>
        <v>#DIV/0!</v>
      </c>
      <c r="K49" s="231" t="e">
        <f>K48/SUMIF(Продажи!$A$65:$A$81,$A48,Продажи!K$65:K$81)</f>
        <v>#DIV/0!</v>
      </c>
      <c r="L49" s="231" t="e">
        <f>L48/SUMIF(Продажи!$A$65:$A$81,$A48,Продажи!L$65:L$81)</f>
        <v>#DIV/0!</v>
      </c>
      <c r="M49" s="231" t="e">
        <f>M48/SUMIF(Продажи!$A$65:$A$81,$A48,Продажи!M$65:M$81)</f>
        <v>#DIV/0!</v>
      </c>
      <c r="N49" s="524" t="e">
        <f>N48/SUMIF(Продажи!$A$65:$A$81,$A48,Продажи!N$65:N$81)</f>
        <v>#DIV/0!</v>
      </c>
      <c r="O49" s="529" t="e">
        <f>O48/SUMIF(Продажи!$A$65:$A$81,$A48,Продажи!O$65:O$81)</f>
        <v>#DIV/0!</v>
      </c>
    </row>
    <row r="50" spans="1:15" ht="10.5">
      <c r="A50" s="125" t="s">
        <v>264</v>
      </c>
      <c r="B50" s="235" t="str">
        <f>VLOOKUP(A50,Классификаторы!$A:$B,2,FALSE)</f>
        <v>Продукт 11</v>
      </c>
      <c r="C50" s="228">
        <f>SUMIF(Продажи!$A$65:$A$81,$A50,Продажи!$C$65:$C$81)-SUMIF(Продажи!$A$102:$A$117,$A50,Продажи!$C$102:$C$117)</f>
        <v>0</v>
      </c>
      <c r="D50" s="228">
        <f>SUMIF(Продажи!$A$65:$A$81,$A50,Продажи!$C$65:$C$81)-SUMIF(Продажи!$A$102:$A$117,$A50,Продажи!$C$102:$C$117)</f>
        <v>0</v>
      </c>
      <c r="E50" s="228">
        <f>SUMIF(Продажи!$A$65:$A$81,$A50,Продажи!$C$65:$C$81)-SUMIF(Продажи!$A$102:$A$117,$A50,Продажи!$C$102:$C$117)</f>
        <v>0</v>
      </c>
      <c r="F50" s="228">
        <f>SUMIF(Продажи!$A$65:$A$81,$A50,Продажи!$C$65:$C$81)-SUMIF(Продажи!$A$102:$A$117,$A50,Продажи!$C$102:$C$117)</f>
        <v>0</v>
      </c>
      <c r="G50" s="228">
        <f>SUMIF(Продажи!$A$65:$A$81,$A50,Продажи!$C$65:$C$81)-SUMIF(Продажи!$A$102:$A$117,$A50,Продажи!$C$102:$C$117)</f>
        <v>0</v>
      </c>
      <c r="H50" s="228">
        <f>SUMIF(Продажи!$A$65:$A$81,$A50,Продажи!$C$65:$C$81)-SUMIF(Продажи!$A$102:$A$117,$A50,Продажи!$C$102:$C$117)</f>
        <v>0</v>
      </c>
      <c r="I50" s="228">
        <f>SUMIF(Продажи!$A$65:$A$81,$A50,Продажи!$C$65:$C$81)-SUMIF(Продажи!$A$102:$A$117,$A50,Продажи!$C$102:$C$117)</f>
        <v>0</v>
      </c>
      <c r="J50" s="228">
        <f>SUMIF(Продажи!$A$65:$A$81,$A50,Продажи!$C$65:$C$81)-SUMIF(Продажи!$A$102:$A$117,$A50,Продажи!$C$102:$C$117)</f>
        <v>0</v>
      </c>
      <c r="K50" s="228">
        <f>SUMIF(Продажи!$A$65:$A$81,$A50,Продажи!$C$65:$C$81)-SUMIF(Продажи!$A$102:$A$117,$A50,Продажи!$C$102:$C$117)</f>
        <v>0</v>
      </c>
      <c r="L50" s="228">
        <f>SUMIF(Продажи!$A$65:$A$81,$A50,Продажи!$C$65:$C$81)-SUMIF(Продажи!$A$102:$A$117,$A50,Продажи!$C$102:$C$117)</f>
        <v>0</v>
      </c>
      <c r="M50" s="228">
        <f>SUMIF(Продажи!$A$65:$A$81,$A50,Продажи!$C$65:$C$81)-SUMIF(Продажи!$A$102:$A$117,$A50,Продажи!$C$102:$C$117)</f>
        <v>0</v>
      </c>
      <c r="N50" s="523">
        <f>SUMIF(Продажи!$A$65:$A$81,$A50,Продажи!$C$65:$C$81)-SUMIF(Продажи!$A$102:$A$117,$A50,Продажи!$C$102:$C$117)</f>
        <v>0</v>
      </c>
      <c r="O50" s="526">
        <f>SUMIF(Продажи!$A$65:$A$81,$A50,Продажи!$C$65:$C$81)-SUMIF(Продажи!$A$102:$A$117,$A50,Продажи!$C$102:$C$117)</f>
        <v>0</v>
      </c>
    </row>
    <row r="51" spans="1:15" ht="10.5">
      <c r="A51" s="236"/>
      <c r="B51" s="237" t="s">
        <v>142</v>
      </c>
      <c r="C51" s="231" t="e">
        <f>C50/SUMIF(Продажи!$A$65:$A$81,$A50,Продажи!$C$65:$C$81)</f>
        <v>#DIV/0!</v>
      </c>
      <c r="D51" s="231" t="e">
        <f>D50/SUMIF(Продажи!$A$65:$A$81,$A50,Продажи!D$65:D$81)</f>
        <v>#DIV/0!</v>
      </c>
      <c r="E51" s="231" t="e">
        <f>E50/SUMIF(Продажи!$A$65:$A$81,$A50,Продажи!E$65:E$81)</f>
        <v>#DIV/0!</v>
      </c>
      <c r="F51" s="231" t="e">
        <f>F50/SUMIF(Продажи!$A$65:$A$81,$A50,Продажи!F$65:F$81)</f>
        <v>#DIV/0!</v>
      </c>
      <c r="G51" s="231" t="e">
        <f>G50/SUMIF(Продажи!$A$65:$A$81,$A50,Продажи!G$65:G$81)</f>
        <v>#DIV/0!</v>
      </c>
      <c r="H51" s="231" t="e">
        <f>H50/SUMIF(Продажи!$A$65:$A$81,$A50,Продажи!H$65:H$81)</f>
        <v>#DIV/0!</v>
      </c>
      <c r="I51" s="231" t="e">
        <f>I50/SUMIF(Продажи!$A$65:$A$81,$A50,Продажи!I$65:I$81)</f>
        <v>#DIV/0!</v>
      </c>
      <c r="J51" s="231" t="e">
        <f>J50/SUMIF(Продажи!$A$65:$A$81,$A50,Продажи!J$65:J$81)</f>
        <v>#DIV/0!</v>
      </c>
      <c r="K51" s="231" t="e">
        <f>K50/SUMIF(Продажи!$A$65:$A$81,$A50,Продажи!K$65:K$81)</f>
        <v>#DIV/0!</v>
      </c>
      <c r="L51" s="231" t="e">
        <f>L50/SUMIF(Продажи!$A$65:$A$81,$A50,Продажи!L$65:L$81)</f>
        <v>#DIV/0!</v>
      </c>
      <c r="M51" s="231" t="e">
        <f>M50/SUMIF(Продажи!$A$65:$A$81,$A50,Продажи!M$65:M$81)</f>
        <v>#DIV/0!</v>
      </c>
      <c r="N51" s="524" t="e">
        <f>N50/SUMIF(Продажи!$A$65:$A$81,$A50,Продажи!N$65:N$81)</f>
        <v>#DIV/0!</v>
      </c>
      <c r="O51" s="529" t="e">
        <f>O50/SUMIF(Продажи!$A$65:$A$81,$A50,Продажи!O$65:O$81)</f>
        <v>#DIV/0!</v>
      </c>
    </row>
    <row r="52" spans="1:15" ht="10.5">
      <c r="A52" s="125" t="s">
        <v>265</v>
      </c>
      <c r="B52" s="235" t="str">
        <f>VLOOKUP(A52,Классификаторы!$A:$B,2,FALSE)</f>
        <v>Продукт 12</v>
      </c>
      <c r="C52" s="228">
        <f>SUMIF(Продажи!$A$65:$A$81,$A52,Продажи!$C$65:$C$81)-SUMIF(Продажи!$A$102:$A$117,$A52,Продажи!$C$102:$C$117)</f>
        <v>0</v>
      </c>
      <c r="D52" s="228">
        <f>SUMIF(Продажи!$A$65:$A$81,$A52,Продажи!$C$65:$C$81)-SUMIF(Продажи!$A$102:$A$117,$A52,Продажи!$C$102:$C$117)</f>
        <v>0</v>
      </c>
      <c r="E52" s="228">
        <f>SUMIF(Продажи!$A$65:$A$81,$A52,Продажи!$C$65:$C$81)-SUMIF(Продажи!$A$102:$A$117,$A52,Продажи!$C$102:$C$117)</f>
        <v>0</v>
      </c>
      <c r="F52" s="228">
        <f>SUMIF(Продажи!$A$65:$A$81,$A52,Продажи!$C$65:$C$81)-SUMIF(Продажи!$A$102:$A$117,$A52,Продажи!$C$102:$C$117)</f>
        <v>0</v>
      </c>
      <c r="G52" s="228">
        <f>SUMIF(Продажи!$A$65:$A$81,$A52,Продажи!$C$65:$C$81)-SUMIF(Продажи!$A$102:$A$117,$A52,Продажи!$C$102:$C$117)</f>
        <v>0</v>
      </c>
      <c r="H52" s="228">
        <f>SUMIF(Продажи!$A$65:$A$81,$A52,Продажи!$C$65:$C$81)-SUMIF(Продажи!$A$102:$A$117,$A52,Продажи!$C$102:$C$117)</f>
        <v>0</v>
      </c>
      <c r="I52" s="228">
        <f>SUMIF(Продажи!$A$65:$A$81,$A52,Продажи!$C$65:$C$81)-SUMIF(Продажи!$A$102:$A$117,$A52,Продажи!$C$102:$C$117)</f>
        <v>0</v>
      </c>
      <c r="J52" s="228">
        <f>SUMIF(Продажи!$A$65:$A$81,$A52,Продажи!$C$65:$C$81)-SUMIF(Продажи!$A$102:$A$117,$A52,Продажи!$C$102:$C$117)</f>
        <v>0</v>
      </c>
      <c r="K52" s="228">
        <f>SUMIF(Продажи!$A$65:$A$81,$A52,Продажи!$C$65:$C$81)-SUMIF(Продажи!$A$102:$A$117,$A52,Продажи!$C$102:$C$117)</f>
        <v>0</v>
      </c>
      <c r="L52" s="228">
        <f>SUMIF(Продажи!$A$65:$A$81,$A52,Продажи!$C$65:$C$81)-SUMIF(Продажи!$A$102:$A$117,$A52,Продажи!$C$102:$C$117)</f>
        <v>0</v>
      </c>
      <c r="M52" s="228">
        <f>SUMIF(Продажи!$A$65:$A$81,$A52,Продажи!$C$65:$C$81)-SUMIF(Продажи!$A$102:$A$117,$A52,Продажи!$C$102:$C$117)</f>
        <v>0</v>
      </c>
      <c r="N52" s="523">
        <f>SUMIF(Продажи!$A$65:$A$81,$A52,Продажи!$C$65:$C$81)-SUMIF(Продажи!$A$102:$A$117,$A52,Продажи!$C$102:$C$117)</f>
        <v>0</v>
      </c>
      <c r="O52" s="526">
        <f>SUMIF(Продажи!$A$65:$A$81,$A52,Продажи!$C$65:$C$81)-SUMIF(Продажи!$A$102:$A$117,$A52,Продажи!$C$102:$C$117)</f>
        <v>0</v>
      </c>
    </row>
    <row r="53" spans="1:15" ht="10.5">
      <c r="A53" s="236"/>
      <c r="B53" s="237" t="s">
        <v>142</v>
      </c>
      <c r="C53" s="231" t="e">
        <f>C52/SUMIF(Продажи!$A$65:$A$81,$A52,Продажи!$C$65:$C$81)</f>
        <v>#DIV/0!</v>
      </c>
      <c r="D53" s="231" t="e">
        <f>D52/SUMIF(Продажи!$A$65:$A$81,$A52,Продажи!D$65:D$81)</f>
        <v>#DIV/0!</v>
      </c>
      <c r="E53" s="231" t="e">
        <f>E52/SUMIF(Продажи!$A$65:$A$81,$A52,Продажи!E$65:E$81)</f>
        <v>#DIV/0!</v>
      </c>
      <c r="F53" s="231" t="e">
        <f>F52/SUMIF(Продажи!$A$65:$A$81,$A52,Продажи!F$65:F$81)</f>
        <v>#DIV/0!</v>
      </c>
      <c r="G53" s="231" t="e">
        <f>G52/SUMIF(Продажи!$A$65:$A$81,$A52,Продажи!G$65:G$81)</f>
        <v>#DIV/0!</v>
      </c>
      <c r="H53" s="231" t="e">
        <f>H52/SUMIF(Продажи!$A$65:$A$81,$A52,Продажи!H$65:H$81)</f>
        <v>#DIV/0!</v>
      </c>
      <c r="I53" s="231" t="e">
        <f>I52/SUMIF(Продажи!$A$65:$A$81,$A52,Продажи!I$65:I$81)</f>
        <v>#DIV/0!</v>
      </c>
      <c r="J53" s="231" t="e">
        <f>J52/SUMIF(Продажи!$A$65:$A$81,$A52,Продажи!J$65:J$81)</f>
        <v>#DIV/0!</v>
      </c>
      <c r="K53" s="231" t="e">
        <f>K52/SUMIF(Продажи!$A$65:$A$81,$A52,Продажи!K$65:K$81)</f>
        <v>#DIV/0!</v>
      </c>
      <c r="L53" s="231" t="e">
        <f>L52/SUMIF(Продажи!$A$65:$A$81,$A52,Продажи!L$65:L$81)</f>
        <v>#DIV/0!</v>
      </c>
      <c r="M53" s="231" t="e">
        <f>M52/SUMIF(Продажи!$A$65:$A$81,$A52,Продажи!M$65:M$81)</f>
        <v>#DIV/0!</v>
      </c>
      <c r="N53" s="524" t="e">
        <f>N52/SUMIF(Продажи!$A$65:$A$81,$A52,Продажи!N$65:N$81)</f>
        <v>#DIV/0!</v>
      </c>
      <c r="O53" s="529" t="e">
        <f>O52/SUMIF(Продажи!$A$65:$A$81,$A52,Продажи!O$65:O$81)</f>
        <v>#DIV/0!</v>
      </c>
    </row>
    <row r="54" spans="1:15" ht="10.5">
      <c r="A54" s="125" t="s">
        <v>267</v>
      </c>
      <c r="B54" s="235" t="str">
        <f>VLOOKUP(A54,Классификаторы!$A:$B,2,FALSE)</f>
        <v>Продукт 13</v>
      </c>
      <c r="C54" s="228">
        <f>SUMIF(Продажи!$A$65:$A$81,$A54,Продажи!$C$65:$C$81)-SUMIF(Продажи!$A$102:$A$117,$A54,Продажи!$C$102:$C$117)</f>
        <v>0</v>
      </c>
      <c r="D54" s="228">
        <f>SUMIF(Продажи!$A$65:$A$81,$A54,Продажи!$C$65:$C$81)-SUMIF(Продажи!$A$102:$A$117,$A54,Продажи!$C$102:$C$117)</f>
        <v>0</v>
      </c>
      <c r="E54" s="228">
        <f>SUMIF(Продажи!$A$65:$A$81,$A54,Продажи!$C$65:$C$81)-SUMIF(Продажи!$A$102:$A$117,$A54,Продажи!$C$102:$C$117)</f>
        <v>0</v>
      </c>
      <c r="F54" s="228">
        <f>SUMIF(Продажи!$A$65:$A$81,$A54,Продажи!$C$65:$C$81)-SUMIF(Продажи!$A$102:$A$117,$A54,Продажи!$C$102:$C$117)</f>
        <v>0</v>
      </c>
      <c r="G54" s="228">
        <f>SUMIF(Продажи!$A$65:$A$81,$A54,Продажи!$C$65:$C$81)-SUMIF(Продажи!$A$102:$A$117,$A54,Продажи!$C$102:$C$117)</f>
        <v>0</v>
      </c>
      <c r="H54" s="228">
        <f>SUMIF(Продажи!$A$65:$A$81,$A54,Продажи!$C$65:$C$81)-SUMIF(Продажи!$A$102:$A$117,$A54,Продажи!$C$102:$C$117)</f>
        <v>0</v>
      </c>
      <c r="I54" s="228">
        <f>SUMIF(Продажи!$A$65:$A$81,$A54,Продажи!$C$65:$C$81)-SUMIF(Продажи!$A$102:$A$117,$A54,Продажи!$C$102:$C$117)</f>
        <v>0</v>
      </c>
      <c r="J54" s="228">
        <f>SUMIF(Продажи!$A$65:$A$81,$A54,Продажи!$C$65:$C$81)-SUMIF(Продажи!$A$102:$A$117,$A54,Продажи!$C$102:$C$117)</f>
        <v>0</v>
      </c>
      <c r="K54" s="228">
        <f>SUMIF(Продажи!$A$65:$A$81,$A54,Продажи!$C$65:$C$81)-SUMIF(Продажи!$A$102:$A$117,$A54,Продажи!$C$102:$C$117)</f>
        <v>0</v>
      </c>
      <c r="L54" s="228">
        <f>SUMIF(Продажи!$A$65:$A$81,$A54,Продажи!$C$65:$C$81)-SUMIF(Продажи!$A$102:$A$117,$A54,Продажи!$C$102:$C$117)</f>
        <v>0</v>
      </c>
      <c r="M54" s="228">
        <f>SUMIF(Продажи!$A$65:$A$81,$A54,Продажи!$C$65:$C$81)-SUMIF(Продажи!$A$102:$A$117,$A54,Продажи!$C$102:$C$117)</f>
        <v>0</v>
      </c>
      <c r="N54" s="523">
        <f>SUMIF(Продажи!$A$65:$A$81,$A54,Продажи!$C$65:$C$81)-SUMIF(Продажи!$A$102:$A$117,$A54,Продажи!$C$102:$C$117)</f>
        <v>0</v>
      </c>
      <c r="O54" s="526">
        <f>SUMIF(Продажи!$A$65:$A$81,$A54,Продажи!$C$65:$C$81)-SUMIF(Продажи!$A$102:$A$117,$A54,Продажи!$C$102:$C$117)</f>
        <v>0</v>
      </c>
    </row>
    <row r="55" spans="1:15" ht="10.5">
      <c r="A55" s="236"/>
      <c r="B55" s="237" t="s">
        <v>142</v>
      </c>
      <c r="C55" s="231" t="e">
        <f>C54/SUMIF(Продажи!$A$65:$A$81,$A54,Продажи!$C$65:$C$81)</f>
        <v>#DIV/0!</v>
      </c>
      <c r="D55" s="231" t="e">
        <f>D54/SUMIF(Продажи!$A$65:$A$81,$A54,Продажи!D$65:D$81)</f>
        <v>#DIV/0!</v>
      </c>
      <c r="E55" s="231" t="e">
        <f>E54/SUMIF(Продажи!$A$65:$A$81,$A54,Продажи!E$65:E$81)</f>
        <v>#DIV/0!</v>
      </c>
      <c r="F55" s="231" t="e">
        <f>F54/SUMIF(Продажи!$A$65:$A$81,$A54,Продажи!F$65:F$81)</f>
        <v>#DIV/0!</v>
      </c>
      <c r="G55" s="231" t="e">
        <f>G54/SUMIF(Продажи!$A$65:$A$81,$A54,Продажи!G$65:G$81)</f>
        <v>#DIV/0!</v>
      </c>
      <c r="H55" s="231" t="e">
        <f>H54/SUMIF(Продажи!$A$65:$A$81,$A54,Продажи!H$65:H$81)</f>
        <v>#DIV/0!</v>
      </c>
      <c r="I55" s="231" t="e">
        <f>I54/SUMIF(Продажи!$A$65:$A$81,$A54,Продажи!I$65:I$81)</f>
        <v>#DIV/0!</v>
      </c>
      <c r="J55" s="231" t="e">
        <f>J54/SUMIF(Продажи!$A$65:$A$81,$A54,Продажи!J$65:J$81)</f>
        <v>#DIV/0!</v>
      </c>
      <c r="K55" s="231" t="e">
        <f>K54/SUMIF(Продажи!$A$65:$A$81,$A54,Продажи!K$65:K$81)</f>
        <v>#DIV/0!</v>
      </c>
      <c r="L55" s="231" t="e">
        <f>L54/SUMIF(Продажи!$A$65:$A$81,$A54,Продажи!L$65:L$81)</f>
        <v>#DIV/0!</v>
      </c>
      <c r="M55" s="231" t="e">
        <f>M54/SUMIF(Продажи!$A$65:$A$81,$A54,Продажи!M$65:M$81)</f>
        <v>#DIV/0!</v>
      </c>
      <c r="N55" s="524" t="e">
        <f>N54/SUMIF(Продажи!$A$65:$A$81,$A54,Продажи!N$65:N$81)</f>
        <v>#DIV/0!</v>
      </c>
      <c r="O55" s="529" t="e">
        <f>O54/SUMIF(Продажи!$A$65:$A$81,$A54,Продажи!O$65:O$81)</f>
        <v>#DIV/0!</v>
      </c>
    </row>
    <row r="56" spans="1:15" ht="10.5">
      <c r="A56" s="125" t="s">
        <v>268</v>
      </c>
      <c r="B56" s="235" t="str">
        <f>VLOOKUP(A56,Классификаторы!$A:$B,2,FALSE)</f>
        <v>Продукт 14</v>
      </c>
      <c r="C56" s="228">
        <f>SUMIF(Продажи!$A$65:$A$81,$A56,Продажи!$C$65:$C$81)-SUMIF(Продажи!$A$102:$A$117,$A56,Продажи!$C$102:$C$117)</f>
        <v>0</v>
      </c>
      <c r="D56" s="228">
        <f>SUMIF(Продажи!$A$65:$A$81,$A56,Продажи!$C$65:$C$81)-SUMIF(Продажи!$A$102:$A$117,$A56,Продажи!$C$102:$C$117)</f>
        <v>0</v>
      </c>
      <c r="E56" s="228">
        <f>SUMIF(Продажи!$A$65:$A$81,$A56,Продажи!$C$65:$C$81)-SUMIF(Продажи!$A$102:$A$117,$A56,Продажи!$C$102:$C$117)</f>
        <v>0</v>
      </c>
      <c r="F56" s="228">
        <f>SUMIF(Продажи!$A$65:$A$81,$A56,Продажи!$C$65:$C$81)-SUMIF(Продажи!$A$102:$A$117,$A56,Продажи!$C$102:$C$117)</f>
        <v>0</v>
      </c>
      <c r="G56" s="228">
        <f>SUMIF(Продажи!$A$65:$A$81,$A56,Продажи!$C$65:$C$81)-SUMIF(Продажи!$A$102:$A$117,$A56,Продажи!$C$102:$C$117)</f>
        <v>0</v>
      </c>
      <c r="H56" s="228">
        <f>SUMIF(Продажи!$A$65:$A$81,$A56,Продажи!$C$65:$C$81)-SUMIF(Продажи!$A$102:$A$117,$A56,Продажи!$C$102:$C$117)</f>
        <v>0</v>
      </c>
      <c r="I56" s="228">
        <f>SUMIF(Продажи!$A$65:$A$81,$A56,Продажи!$C$65:$C$81)-SUMIF(Продажи!$A$102:$A$117,$A56,Продажи!$C$102:$C$117)</f>
        <v>0</v>
      </c>
      <c r="J56" s="228">
        <f>SUMIF(Продажи!$A$65:$A$81,$A56,Продажи!$C$65:$C$81)-SUMIF(Продажи!$A$102:$A$117,$A56,Продажи!$C$102:$C$117)</f>
        <v>0</v>
      </c>
      <c r="K56" s="228">
        <f>SUMIF(Продажи!$A$65:$A$81,$A56,Продажи!$C$65:$C$81)-SUMIF(Продажи!$A$102:$A$117,$A56,Продажи!$C$102:$C$117)</f>
        <v>0</v>
      </c>
      <c r="L56" s="228">
        <f>SUMIF(Продажи!$A$65:$A$81,$A56,Продажи!$C$65:$C$81)-SUMIF(Продажи!$A$102:$A$117,$A56,Продажи!$C$102:$C$117)</f>
        <v>0</v>
      </c>
      <c r="M56" s="228">
        <f>SUMIF(Продажи!$A$65:$A$81,$A56,Продажи!$C$65:$C$81)-SUMIF(Продажи!$A$102:$A$117,$A56,Продажи!$C$102:$C$117)</f>
        <v>0</v>
      </c>
      <c r="N56" s="523">
        <f>SUMIF(Продажи!$A$65:$A$81,$A56,Продажи!$C$65:$C$81)-SUMIF(Продажи!$A$102:$A$117,$A56,Продажи!$C$102:$C$117)</f>
        <v>0</v>
      </c>
      <c r="O56" s="526">
        <f>SUMIF(Продажи!$A$65:$A$81,$A56,Продажи!$C$65:$C$81)-SUMIF(Продажи!$A$102:$A$117,$A56,Продажи!$C$102:$C$117)</f>
        <v>0</v>
      </c>
    </row>
    <row r="57" spans="1:15" ht="10.5">
      <c r="A57" s="236"/>
      <c r="B57" s="237" t="s">
        <v>142</v>
      </c>
      <c r="C57" s="231" t="e">
        <f>C56/SUMIF(Продажи!$A$65:$A$81,$A56,Продажи!$C$65:$C$81)</f>
        <v>#DIV/0!</v>
      </c>
      <c r="D57" s="231" t="e">
        <f>D56/SUMIF(Продажи!$A$65:$A$81,$A56,Продажи!D$65:D$81)</f>
        <v>#DIV/0!</v>
      </c>
      <c r="E57" s="231" t="e">
        <f>E56/SUMIF(Продажи!$A$65:$A$81,$A56,Продажи!E$65:E$81)</f>
        <v>#DIV/0!</v>
      </c>
      <c r="F57" s="231" t="e">
        <f>F56/SUMIF(Продажи!$A$65:$A$81,$A56,Продажи!F$65:F$81)</f>
        <v>#DIV/0!</v>
      </c>
      <c r="G57" s="231" t="e">
        <f>G56/SUMIF(Продажи!$A$65:$A$81,$A56,Продажи!G$65:G$81)</f>
        <v>#DIV/0!</v>
      </c>
      <c r="H57" s="231" t="e">
        <f>H56/SUMIF(Продажи!$A$65:$A$81,$A56,Продажи!H$65:H$81)</f>
        <v>#DIV/0!</v>
      </c>
      <c r="I57" s="231" t="e">
        <f>I56/SUMIF(Продажи!$A$65:$A$81,$A56,Продажи!I$65:I$81)</f>
        <v>#DIV/0!</v>
      </c>
      <c r="J57" s="231" t="e">
        <f>J56/SUMIF(Продажи!$A$65:$A$81,$A56,Продажи!J$65:J$81)</f>
        <v>#DIV/0!</v>
      </c>
      <c r="K57" s="231" t="e">
        <f>K56/SUMIF(Продажи!$A$65:$A$81,$A56,Продажи!K$65:K$81)</f>
        <v>#DIV/0!</v>
      </c>
      <c r="L57" s="231" t="e">
        <f>L56/SUMIF(Продажи!$A$65:$A$81,$A56,Продажи!L$65:L$81)</f>
        <v>#DIV/0!</v>
      </c>
      <c r="M57" s="231" t="e">
        <f>M56/SUMIF(Продажи!$A$65:$A$81,$A56,Продажи!M$65:M$81)</f>
        <v>#DIV/0!</v>
      </c>
      <c r="N57" s="524" t="e">
        <f>N56/SUMIF(Продажи!$A$65:$A$81,$A56,Продажи!N$65:N$81)</f>
        <v>#DIV/0!</v>
      </c>
      <c r="O57" s="529" t="e">
        <f>O56/SUMIF(Продажи!$A$65:$A$81,$A56,Продажи!O$65:O$81)</f>
        <v>#DIV/0!</v>
      </c>
    </row>
    <row r="58" spans="1:15" ht="10.5">
      <c r="A58" s="125" t="s">
        <v>269</v>
      </c>
      <c r="B58" s="235" t="str">
        <f>VLOOKUP(A58,Классификаторы!$A:$B,2,FALSE)</f>
        <v>Продукт 15</v>
      </c>
      <c r="C58" s="228">
        <f>SUMIF(Продажи!$A$65:$A$81,$A58,Продажи!$C$65:$C$81)-SUMIF(Продажи!$A$102:$A$117,$A58,Продажи!$C$102:$C$117)</f>
        <v>0</v>
      </c>
      <c r="D58" s="228">
        <f>SUMIF(Продажи!$A$65:$A$81,$A58,Продажи!$C$65:$C$81)-SUMIF(Продажи!$A$102:$A$117,$A58,Продажи!$C$102:$C$117)</f>
        <v>0</v>
      </c>
      <c r="E58" s="228">
        <f>SUMIF(Продажи!$A$65:$A$81,$A58,Продажи!$C$65:$C$81)-SUMIF(Продажи!$A$102:$A$117,$A58,Продажи!$C$102:$C$117)</f>
        <v>0</v>
      </c>
      <c r="F58" s="228">
        <f>SUMIF(Продажи!$A$65:$A$81,$A58,Продажи!$C$65:$C$81)-SUMIF(Продажи!$A$102:$A$117,$A58,Продажи!$C$102:$C$117)</f>
        <v>0</v>
      </c>
      <c r="G58" s="228">
        <f>SUMIF(Продажи!$A$65:$A$81,$A58,Продажи!$C$65:$C$81)-SUMIF(Продажи!$A$102:$A$117,$A58,Продажи!$C$102:$C$117)</f>
        <v>0</v>
      </c>
      <c r="H58" s="228">
        <f>SUMIF(Продажи!$A$65:$A$81,$A58,Продажи!$C$65:$C$81)-SUMIF(Продажи!$A$102:$A$117,$A58,Продажи!$C$102:$C$117)</f>
        <v>0</v>
      </c>
      <c r="I58" s="228">
        <f>SUMIF(Продажи!$A$65:$A$81,$A58,Продажи!$C$65:$C$81)-SUMIF(Продажи!$A$102:$A$117,$A58,Продажи!$C$102:$C$117)</f>
        <v>0</v>
      </c>
      <c r="J58" s="228">
        <f>SUMIF(Продажи!$A$65:$A$81,$A58,Продажи!$C$65:$C$81)-SUMIF(Продажи!$A$102:$A$117,$A58,Продажи!$C$102:$C$117)</f>
        <v>0</v>
      </c>
      <c r="K58" s="228">
        <f>SUMIF(Продажи!$A$65:$A$81,$A58,Продажи!$C$65:$C$81)-SUMIF(Продажи!$A$102:$A$117,$A58,Продажи!$C$102:$C$117)</f>
        <v>0</v>
      </c>
      <c r="L58" s="228">
        <f>SUMIF(Продажи!$A$65:$A$81,$A58,Продажи!$C$65:$C$81)-SUMIF(Продажи!$A$102:$A$117,$A58,Продажи!$C$102:$C$117)</f>
        <v>0</v>
      </c>
      <c r="M58" s="228">
        <f>SUMIF(Продажи!$A$65:$A$81,$A58,Продажи!$C$65:$C$81)-SUMIF(Продажи!$A$102:$A$117,$A58,Продажи!$C$102:$C$117)</f>
        <v>0</v>
      </c>
      <c r="N58" s="523">
        <f>SUMIF(Продажи!$A$65:$A$81,$A58,Продажи!$C$65:$C$81)-SUMIF(Продажи!$A$102:$A$117,$A58,Продажи!$C$102:$C$117)</f>
        <v>0</v>
      </c>
      <c r="O58" s="526">
        <f>SUMIF(Продажи!$A$65:$A$81,$A58,Продажи!$C$65:$C$81)-SUMIF(Продажи!$A$102:$A$117,$A58,Продажи!$C$102:$C$117)</f>
        <v>0</v>
      </c>
    </row>
    <row r="59" spans="1:15" ht="10.5">
      <c r="A59" s="236"/>
      <c r="B59" s="237" t="s">
        <v>142</v>
      </c>
      <c r="C59" s="508" t="e">
        <f>C58/SUMIF(Продажи!$A$65:$A$81,$A58,Продажи!$C$65:$C$81)</f>
        <v>#DIV/0!</v>
      </c>
      <c r="D59" s="508" t="e">
        <f>D58/SUMIF(Продажи!$A$65:$A$81,$A58,Продажи!D$65:D$81)</f>
        <v>#DIV/0!</v>
      </c>
      <c r="E59" s="508" t="e">
        <f>E58/SUMIF(Продажи!$A$65:$A$81,$A58,Продажи!E$65:E$81)</f>
        <v>#DIV/0!</v>
      </c>
      <c r="F59" s="508" t="e">
        <f>F58/SUMIF(Продажи!$A$65:$A$81,$A58,Продажи!F$65:F$81)</f>
        <v>#DIV/0!</v>
      </c>
      <c r="G59" s="508" t="e">
        <f>G58/SUMIF(Продажи!$A$65:$A$81,$A58,Продажи!G$65:G$81)</f>
        <v>#DIV/0!</v>
      </c>
      <c r="H59" s="508" t="e">
        <f>H58/SUMIF(Продажи!$A$65:$A$81,$A58,Продажи!H$65:H$81)</f>
        <v>#DIV/0!</v>
      </c>
      <c r="I59" s="508" t="e">
        <f>I58/SUMIF(Продажи!$A$65:$A$81,$A58,Продажи!I$65:I$81)</f>
        <v>#DIV/0!</v>
      </c>
      <c r="J59" s="508" t="e">
        <f>J58/SUMIF(Продажи!$A$65:$A$81,$A58,Продажи!J$65:J$81)</f>
        <v>#DIV/0!</v>
      </c>
      <c r="K59" s="508" t="e">
        <f>K58/SUMIF(Продажи!$A$65:$A$81,$A58,Продажи!K$65:K$81)</f>
        <v>#DIV/0!</v>
      </c>
      <c r="L59" s="508" t="e">
        <f>L58/SUMIF(Продажи!$A$65:$A$81,$A58,Продажи!L$65:L$81)</f>
        <v>#DIV/0!</v>
      </c>
      <c r="M59" s="508" t="e">
        <f>M58/SUMIF(Продажи!$A$65:$A$81,$A58,Продажи!M$65:M$81)</f>
        <v>#DIV/0!</v>
      </c>
      <c r="N59" s="509" t="e">
        <f>N58/SUMIF(Продажи!$A$65:$A$81,$A58,Продажи!N$65:N$81)</f>
        <v>#DIV/0!</v>
      </c>
      <c r="O59" s="530" t="e">
        <f>O58/SUMIF(Продажи!$A$65:$A$81,$A58,Продажи!O$65:O$81)</f>
        <v>#DIV/0!</v>
      </c>
    </row>
  </sheetData>
  <printOptions/>
  <pageMargins left="0.75" right="0.75" top="0.67" bottom="1.29" header="0.5" footer="0.5"/>
  <pageSetup horizontalDpi="300" verticalDpi="300" orientation="landscape" paperSize="9" scale="59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46"/>
  <sheetViews>
    <sheetView view="pageBreakPreview" zoomScale="85" zoomScaleSheetLayoutView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625" style="27" customWidth="1"/>
    <col min="2" max="2" width="34.75390625" style="27" customWidth="1"/>
    <col min="3" max="3" width="11.25390625" style="27" customWidth="1"/>
    <col min="4" max="15" width="11.25390625" style="27" bestFit="1" customWidth="1"/>
    <col min="16" max="16384" width="9.125" style="27" customWidth="1"/>
  </cols>
  <sheetData>
    <row r="1" spans="1:15" ht="18">
      <c r="A1" s="608"/>
      <c r="C1" s="96" t="s">
        <v>337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9"/>
    </row>
    <row r="2" spans="1:15" ht="11.25" thickBot="1">
      <c r="A2" s="3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79"/>
    </row>
    <row r="3" spans="1:15" ht="10.5">
      <c r="A3" s="80" t="s">
        <v>0</v>
      </c>
      <c r="B3" s="55" t="s">
        <v>132</v>
      </c>
      <c r="C3" s="56">
        <v>39448</v>
      </c>
      <c r="D3" s="56">
        <v>39479</v>
      </c>
      <c r="E3" s="56">
        <v>39508</v>
      </c>
      <c r="F3" s="56">
        <v>39539</v>
      </c>
      <c r="G3" s="56">
        <v>39569</v>
      </c>
      <c r="H3" s="56">
        <v>39600</v>
      </c>
      <c r="I3" s="56">
        <v>39630</v>
      </c>
      <c r="J3" s="56">
        <v>39661</v>
      </c>
      <c r="K3" s="56">
        <v>39692</v>
      </c>
      <c r="L3" s="56">
        <v>39722</v>
      </c>
      <c r="M3" s="56">
        <v>39753</v>
      </c>
      <c r="N3" s="56">
        <v>39783</v>
      </c>
      <c r="O3" s="340" t="s">
        <v>67</v>
      </c>
    </row>
    <row r="4" spans="1:15" ht="10.5">
      <c r="A4" s="79" t="s">
        <v>170</v>
      </c>
      <c r="B4" s="45"/>
      <c r="C4" s="45"/>
      <c r="D4" s="45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531"/>
    </row>
    <row r="5" spans="1:15" s="34" customFormat="1" ht="10.5">
      <c r="A5" s="403" t="s">
        <v>183</v>
      </c>
      <c r="B5" s="532" t="str">
        <f>VLOOKUP(A5,Классификаторы!$A:$B,2,FALSE)</f>
        <v>Подготовка проектов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7"/>
      <c r="O5" s="84">
        <f>SUM(C5:N5)</f>
        <v>0</v>
      </c>
    </row>
    <row r="6" spans="1:15" ht="10.5">
      <c r="A6" s="404" t="s">
        <v>184</v>
      </c>
      <c r="B6" s="462" t="str">
        <f>VLOOKUP(A6,Классификаторы!$A:$B,2,FALSE)</f>
        <v>Стоимость оборудования</v>
      </c>
      <c r="C6" s="112">
        <f>SUM(C7:C10)</f>
        <v>0</v>
      </c>
      <c r="D6" s="112">
        <f aca="true" t="shared" si="0" ref="D6:N6">SUM(D7:D10)</f>
        <v>0</v>
      </c>
      <c r="E6" s="112">
        <f t="shared" si="0"/>
        <v>0</v>
      </c>
      <c r="F6" s="112">
        <f t="shared" si="0"/>
        <v>0</v>
      </c>
      <c r="G6" s="112">
        <f t="shared" si="0"/>
        <v>0</v>
      </c>
      <c r="H6" s="112">
        <f t="shared" si="0"/>
        <v>0</v>
      </c>
      <c r="I6" s="112">
        <f t="shared" si="0"/>
        <v>0</v>
      </c>
      <c r="J6" s="112">
        <f t="shared" si="0"/>
        <v>0</v>
      </c>
      <c r="K6" s="112">
        <f t="shared" si="0"/>
        <v>0</v>
      </c>
      <c r="L6" s="112">
        <f t="shared" si="0"/>
        <v>0</v>
      </c>
      <c r="M6" s="112">
        <f t="shared" si="0"/>
        <v>0</v>
      </c>
      <c r="N6" s="370">
        <f t="shared" si="0"/>
        <v>0</v>
      </c>
      <c r="O6" s="194">
        <f aca="true" t="shared" si="1" ref="O6:O16">SUM(C6:N6)</f>
        <v>0</v>
      </c>
    </row>
    <row r="7" spans="1:15" ht="10.5">
      <c r="A7" s="404" t="s">
        <v>186</v>
      </c>
      <c r="B7" s="463" t="str">
        <f>VLOOKUP(A7,Классификаторы!$A:$B,2,FALSE)</f>
        <v>инженерное оборудование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474"/>
      <c r="O7" s="194">
        <f t="shared" si="1"/>
        <v>0</v>
      </c>
    </row>
    <row r="8" spans="1:15" ht="10.5">
      <c r="A8" s="404" t="s">
        <v>187</v>
      </c>
      <c r="B8" s="463" t="str">
        <f>VLOOKUP(A8,Классификаторы!$A:$B,2,FALSE)</f>
        <v>технологическое оборудование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474"/>
      <c r="O8" s="194">
        <f t="shared" si="1"/>
        <v>0</v>
      </c>
    </row>
    <row r="9" spans="1:15" ht="10.5">
      <c r="A9" s="404" t="s">
        <v>188</v>
      </c>
      <c r="B9" s="463" t="str">
        <f>VLOOKUP(A9,Классификаторы!$A:$B,2,FALSE)</f>
        <v>вспомогательное оборудование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474"/>
      <c r="O9" s="194">
        <f t="shared" si="1"/>
        <v>0</v>
      </c>
    </row>
    <row r="10" spans="1:15" ht="10.5">
      <c r="A10" s="404" t="s">
        <v>189</v>
      </c>
      <c r="B10" s="463" t="str">
        <f>VLOOKUP(A10,Классификаторы!$A:$B,2,FALSE)</f>
        <v>прочее оборудование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474"/>
      <c r="O10" s="194">
        <f t="shared" si="1"/>
        <v>0</v>
      </c>
    </row>
    <row r="11" spans="1:15" ht="10.5">
      <c r="A11" s="404" t="s">
        <v>185</v>
      </c>
      <c r="B11" s="462" t="str">
        <f>VLOOKUP(A11,Классификаторы!$A:$B,2,FALSE)</f>
        <v>Строительно-монтажные работы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474"/>
      <c r="O11" s="194">
        <f t="shared" si="1"/>
        <v>0</v>
      </c>
    </row>
    <row r="12" spans="1:15" ht="10.5">
      <c r="A12" s="404" t="s">
        <v>190</v>
      </c>
      <c r="B12" s="462" t="str">
        <f>VLOOKUP(A12,Классификаторы!$A:$B,2,FALSE)</f>
        <v>Нематериальные активы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474"/>
      <c r="O12" s="194">
        <f t="shared" si="1"/>
        <v>0</v>
      </c>
    </row>
    <row r="13" spans="1:15" ht="10.5">
      <c r="A13" s="404" t="s">
        <v>191</v>
      </c>
      <c r="B13" s="462" t="str">
        <f>VLOOKUP(A13,Классификаторы!$A:$B,2,FALSE)</f>
        <v>Прочие внеоборотные активы</v>
      </c>
      <c r="C13" s="112">
        <f>SUM(C14:C15)</f>
        <v>0</v>
      </c>
      <c r="D13" s="112">
        <f aca="true" t="shared" si="2" ref="D13:N13">SUM(D14:D15)</f>
        <v>0</v>
      </c>
      <c r="E13" s="112">
        <f t="shared" si="2"/>
        <v>0</v>
      </c>
      <c r="F13" s="112">
        <f t="shared" si="2"/>
        <v>0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112">
        <f t="shared" si="2"/>
        <v>0</v>
      </c>
      <c r="L13" s="112">
        <f t="shared" si="2"/>
        <v>0</v>
      </c>
      <c r="M13" s="112">
        <f t="shared" si="2"/>
        <v>0</v>
      </c>
      <c r="N13" s="370">
        <f t="shared" si="2"/>
        <v>0</v>
      </c>
      <c r="O13" s="194">
        <f t="shared" si="1"/>
        <v>0</v>
      </c>
    </row>
    <row r="14" spans="1:15" ht="10.5">
      <c r="A14" s="404" t="s">
        <v>192</v>
      </c>
      <c r="B14" s="463" t="str">
        <f>VLOOKUP(A14,Классификаторы!$A:$B,2,FALSE)</f>
        <v>вычислительная техника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474"/>
      <c r="O14" s="194">
        <f t="shared" si="1"/>
        <v>0</v>
      </c>
    </row>
    <row r="15" spans="1:15" s="34" customFormat="1" ht="10.5">
      <c r="A15" s="404" t="s">
        <v>193</v>
      </c>
      <c r="B15" s="463" t="str">
        <f>VLOOKUP(A15,Классификаторы!$A:$B,2,FALSE)</f>
        <v>прочие основные средства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470"/>
      <c r="O15" s="140">
        <f t="shared" si="1"/>
        <v>0</v>
      </c>
    </row>
    <row r="16" spans="1:15" s="34" customFormat="1" ht="10.5">
      <c r="A16" s="538"/>
      <c r="B16" s="539" t="s">
        <v>181</v>
      </c>
      <c r="C16" s="540">
        <f>SUM(C5:C6,C11:C13)</f>
        <v>0</v>
      </c>
      <c r="D16" s="540">
        <f aca="true" t="shared" si="3" ref="D16:N16">SUM(D5:D6,D11:D13)</f>
        <v>0</v>
      </c>
      <c r="E16" s="540">
        <f t="shared" si="3"/>
        <v>0</v>
      </c>
      <c r="F16" s="540">
        <f t="shared" si="3"/>
        <v>0</v>
      </c>
      <c r="G16" s="540">
        <f t="shared" si="3"/>
        <v>0</v>
      </c>
      <c r="H16" s="540">
        <f t="shared" si="3"/>
        <v>0</v>
      </c>
      <c r="I16" s="540">
        <f t="shared" si="3"/>
        <v>0</v>
      </c>
      <c r="J16" s="540">
        <f t="shared" si="3"/>
        <v>0</v>
      </c>
      <c r="K16" s="540">
        <f t="shared" si="3"/>
        <v>0</v>
      </c>
      <c r="L16" s="540">
        <f t="shared" si="3"/>
        <v>0</v>
      </c>
      <c r="M16" s="540">
        <f t="shared" si="3"/>
        <v>0</v>
      </c>
      <c r="N16" s="541">
        <f t="shared" si="3"/>
        <v>0</v>
      </c>
      <c r="O16" s="94">
        <f t="shared" si="1"/>
        <v>0</v>
      </c>
    </row>
    <row r="18" spans="1:15" ht="10.5">
      <c r="A18" s="79" t="s">
        <v>179</v>
      </c>
      <c r="B18" s="45"/>
      <c r="C18" s="45"/>
      <c r="D18" s="45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</row>
    <row r="19" spans="1:15" s="34" customFormat="1" ht="10.5">
      <c r="A19" s="125" t="s">
        <v>183</v>
      </c>
      <c r="B19" s="532" t="str">
        <f>VLOOKUP(A19,Классификаторы!$A:$B,2,FALSE)</f>
        <v>Подготовка проектов</v>
      </c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4"/>
      <c r="O19" s="84">
        <f>SUM(C19:N19)</f>
        <v>0</v>
      </c>
    </row>
    <row r="20" spans="1:15" ht="10.5">
      <c r="A20" s="81" t="s">
        <v>184</v>
      </c>
      <c r="B20" s="462" t="str">
        <f>VLOOKUP(A20,Классификаторы!$A:$B,2,FALSE)</f>
        <v>Стоимость оборудования</v>
      </c>
      <c r="C20" s="83">
        <f aca="true" t="shared" si="4" ref="C20:N20">SUM(C21:C24)</f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 t="shared" si="4"/>
        <v>0</v>
      </c>
      <c r="K20" s="83">
        <f t="shared" si="4"/>
        <v>0</v>
      </c>
      <c r="L20" s="83">
        <f t="shared" si="4"/>
        <v>0</v>
      </c>
      <c r="M20" s="83">
        <f t="shared" si="4"/>
        <v>0</v>
      </c>
      <c r="N20" s="305">
        <f t="shared" si="4"/>
        <v>0</v>
      </c>
      <c r="O20" s="194">
        <f aca="true" t="shared" si="5" ref="O20:O30">SUM(C20:N20)</f>
        <v>0</v>
      </c>
    </row>
    <row r="21" spans="1:15" ht="10.5">
      <c r="A21" s="81" t="s">
        <v>186</v>
      </c>
      <c r="B21" s="463" t="str">
        <f>VLOOKUP(A21,Классификаторы!$A:$B,2,FALSE)</f>
        <v>инженерное оборудование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535"/>
      <c r="O21" s="194">
        <f t="shared" si="5"/>
        <v>0</v>
      </c>
    </row>
    <row r="22" spans="1:15" ht="10.5">
      <c r="A22" s="81" t="s">
        <v>187</v>
      </c>
      <c r="B22" s="463" t="str">
        <f>VLOOKUP(A22,Классификаторы!$A:$B,2,FALSE)</f>
        <v>технологическое оборудование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535"/>
      <c r="O22" s="194">
        <f t="shared" si="5"/>
        <v>0</v>
      </c>
    </row>
    <row r="23" spans="1:15" ht="10.5">
      <c r="A23" s="81" t="s">
        <v>188</v>
      </c>
      <c r="B23" s="463" t="str">
        <f>VLOOKUP(A23,Классификаторы!$A:$B,2,FALSE)</f>
        <v>вспомогательное оборудование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535"/>
      <c r="O23" s="194">
        <f t="shared" si="5"/>
        <v>0</v>
      </c>
    </row>
    <row r="24" spans="1:15" ht="10.5">
      <c r="A24" s="81" t="s">
        <v>189</v>
      </c>
      <c r="B24" s="463" t="str">
        <f>VLOOKUP(A24,Классификаторы!$A:$B,2,FALSE)</f>
        <v>прочее оборудование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535"/>
      <c r="O24" s="194">
        <f t="shared" si="5"/>
        <v>0</v>
      </c>
    </row>
    <row r="25" spans="1:15" ht="10.5">
      <c r="A25" s="81" t="s">
        <v>185</v>
      </c>
      <c r="B25" s="462" t="str">
        <f>VLOOKUP(A25,Классификаторы!$A:$B,2,FALSE)</f>
        <v>Строительно-монтажные работы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535"/>
      <c r="O25" s="194">
        <f t="shared" si="5"/>
        <v>0</v>
      </c>
    </row>
    <row r="26" spans="1:15" ht="10.5">
      <c r="A26" s="81" t="s">
        <v>190</v>
      </c>
      <c r="B26" s="462" t="str">
        <f>VLOOKUP(A26,Классификаторы!$A:$B,2,FALSE)</f>
        <v>Нематериальные активы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535"/>
      <c r="O26" s="194">
        <f t="shared" si="5"/>
        <v>0</v>
      </c>
    </row>
    <row r="27" spans="1:15" ht="10.5">
      <c r="A27" s="81" t="s">
        <v>191</v>
      </c>
      <c r="B27" s="462" t="str">
        <f>VLOOKUP(A27,Классификаторы!$A:$B,2,FALSE)</f>
        <v>Прочие внеоборотные активы</v>
      </c>
      <c r="C27" s="83">
        <f aca="true" t="shared" si="6" ref="C27:N27">SUM(C28:C29)</f>
        <v>0</v>
      </c>
      <c r="D27" s="83">
        <f t="shared" si="6"/>
        <v>0</v>
      </c>
      <c r="E27" s="83">
        <f t="shared" si="6"/>
        <v>0</v>
      </c>
      <c r="F27" s="83">
        <f t="shared" si="6"/>
        <v>0</v>
      </c>
      <c r="G27" s="83">
        <f t="shared" si="6"/>
        <v>0</v>
      </c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 t="shared" si="6"/>
        <v>0</v>
      </c>
      <c r="L27" s="83">
        <f t="shared" si="6"/>
        <v>0</v>
      </c>
      <c r="M27" s="83">
        <f t="shared" si="6"/>
        <v>0</v>
      </c>
      <c r="N27" s="305">
        <f t="shared" si="6"/>
        <v>0</v>
      </c>
      <c r="O27" s="194">
        <f t="shared" si="5"/>
        <v>0</v>
      </c>
    </row>
    <row r="28" spans="1:15" ht="10.5">
      <c r="A28" s="81" t="s">
        <v>192</v>
      </c>
      <c r="B28" s="463" t="str">
        <f>VLOOKUP(A28,Классификаторы!$A:$B,2,FALSE)</f>
        <v>вычислительная техника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535"/>
      <c r="O28" s="194">
        <f t="shared" si="5"/>
        <v>0</v>
      </c>
    </row>
    <row r="29" spans="1:15" s="34" customFormat="1" ht="10.5">
      <c r="A29" s="353" t="s">
        <v>193</v>
      </c>
      <c r="B29" s="463" t="str">
        <f>VLOOKUP(A29,Классификаторы!$A:$B,2,FALSE)</f>
        <v>прочие основные средства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470"/>
      <c r="O29" s="140">
        <f t="shared" si="5"/>
        <v>0</v>
      </c>
    </row>
    <row r="30" spans="1:15" s="34" customFormat="1" ht="10.5">
      <c r="A30" s="538"/>
      <c r="B30" s="539" t="s">
        <v>181</v>
      </c>
      <c r="C30" s="540">
        <f>SUM(C19:C20,C25:C27)</f>
        <v>0</v>
      </c>
      <c r="D30" s="540">
        <f aca="true" t="shared" si="7" ref="D30:N30">SUM(D19:D20,D25:D27)</f>
        <v>0</v>
      </c>
      <c r="E30" s="540">
        <f t="shared" si="7"/>
        <v>0</v>
      </c>
      <c r="F30" s="540">
        <f t="shared" si="7"/>
        <v>0</v>
      </c>
      <c r="G30" s="540">
        <f t="shared" si="7"/>
        <v>0</v>
      </c>
      <c r="H30" s="540">
        <f t="shared" si="7"/>
        <v>0</v>
      </c>
      <c r="I30" s="540">
        <f t="shared" si="7"/>
        <v>0</v>
      </c>
      <c r="J30" s="540">
        <f t="shared" si="7"/>
        <v>0</v>
      </c>
      <c r="K30" s="540">
        <f t="shared" si="7"/>
        <v>0</v>
      </c>
      <c r="L30" s="540">
        <f t="shared" si="7"/>
        <v>0</v>
      </c>
      <c r="M30" s="540">
        <f t="shared" si="7"/>
        <v>0</v>
      </c>
      <c r="N30" s="541">
        <f t="shared" si="7"/>
        <v>0</v>
      </c>
      <c r="O30" s="94">
        <f t="shared" si="5"/>
        <v>0</v>
      </c>
    </row>
    <row r="32" spans="1:15" ht="10.5">
      <c r="A32" s="79" t="s">
        <v>239</v>
      </c>
      <c r="B32" s="45"/>
      <c r="C32" s="45"/>
      <c r="D32" s="45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</row>
    <row r="33" spans="1:15" s="34" customFormat="1" ht="10.5">
      <c r="A33" s="125" t="s">
        <v>183</v>
      </c>
      <c r="B33" s="532" t="str">
        <f>VLOOKUP(A33,Классификаторы!$A:$B,2,FALSE)</f>
        <v>Подготовка проектов</v>
      </c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7"/>
      <c r="O33" s="84">
        <f>SUM(C33:N33)</f>
        <v>0</v>
      </c>
    </row>
    <row r="34" spans="1:15" ht="10.5">
      <c r="A34" s="81" t="s">
        <v>184</v>
      </c>
      <c r="B34" s="462" t="str">
        <f>VLOOKUP(A34,Классификаторы!$A:$B,2,FALSE)</f>
        <v>Стоимость оборудования</v>
      </c>
      <c r="C34" s="112">
        <f>SUM(C35:C38)</f>
        <v>0</v>
      </c>
      <c r="D34" s="112">
        <f aca="true" t="shared" si="8" ref="D34:N34">SUM(D35:D38)</f>
        <v>0</v>
      </c>
      <c r="E34" s="112">
        <f t="shared" si="8"/>
        <v>0</v>
      </c>
      <c r="F34" s="112">
        <f t="shared" si="8"/>
        <v>0</v>
      </c>
      <c r="G34" s="112">
        <f t="shared" si="8"/>
        <v>0</v>
      </c>
      <c r="H34" s="112">
        <f t="shared" si="8"/>
        <v>0</v>
      </c>
      <c r="I34" s="112">
        <f t="shared" si="8"/>
        <v>0</v>
      </c>
      <c r="J34" s="112">
        <f t="shared" si="8"/>
        <v>0</v>
      </c>
      <c r="K34" s="112">
        <f t="shared" si="8"/>
        <v>0</v>
      </c>
      <c r="L34" s="112">
        <f t="shared" si="8"/>
        <v>0</v>
      </c>
      <c r="M34" s="112">
        <f t="shared" si="8"/>
        <v>0</v>
      </c>
      <c r="N34" s="370">
        <f t="shared" si="8"/>
        <v>0</v>
      </c>
      <c r="O34" s="194">
        <f aca="true" t="shared" si="9" ref="O34:O44">SUM(C34:N34)</f>
        <v>0</v>
      </c>
    </row>
    <row r="35" spans="1:15" ht="10.5">
      <c r="A35" s="81" t="s">
        <v>186</v>
      </c>
      <c r="B35" s="463" t="str">
        <f>VLOOKUP(A35,Классификаторы!$A:$B,2,FALSE)</f>
        <v>инженерное оборудование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74"/>
      <c r="O35" s="194">
        <f t="shared" si="9"/>
        <v>0</v>
      </c>
    </row>
    <row r="36" spans="1:15" ht="10.5">
      <c r="A36" s="81" t="s">
        <v>187</v>
      </c>
      <c r="B36" s="463" t="str">
        <f>VLOOKUP(A36,Классификаторы!$A:$B,2,FALSE)</f>
        <v>технологическое оборудование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474"/>
      <c r="O36" s="194">
        <f t="shared" si="9"/>
        <v>0</v>
      </c>
    </row>
    <row r="37" spans="1:15" ht="10.5">
      <c r="A37" s="81" t="s">
        <v>188</v>
      </c>
      <c r="B37" s="463" t="str">
        <f>VLOOKUP(A37,Классификаторы!$A:$B,2,FALSE)</f>
        <v>вспомогательное оборудование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474"/>
      <c r="O37" s="194">
        <f t="shared" si="9"/>
        <v>0</v>
      </c>
    </row>
    <row r="38" spans="1:15" ht="10.5">
      <c r="A38" s="81" t="s">
        <v>189</v>
      </c>
      <c r="B38" s="463" t="str">
        <f>VLOOKUP(A38,Классификаторы!$A:$B,2,FALSE)</f>
        <v>прочее оборудование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474"/>
      <c r="O38" s="194">
        <f t="shared" si="9"/>
        <v>0</v>
      </c>
    </row>
    <row r="39" spans="1:15" ht="10.5">
      <c r="A39" s="81" t="s">
        <v>185</v>
      </c>
      <c r="B39" s="462" t="str">
        <f>VLOOKUP(A39,Классификаторы!$A:$B,2,FALSE)</f>
        <v>Строительно-монтажные работы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474"/>
      <c r="O39" s="194">
        <f t="shared" si="9"/>
        <v>0</v>
      </c>
    </row>
    <row r="40" spans="1:15" ht="10.5">
      <c r="A40" s="81" t="s">
        <v>190</v>
      </c>
      <c r="B40" s="462" t="str">
        <f>VLOOKUP(A40,Классификаторы!$A:$B,2,FALSE)</f>
        <v>Нематериальные активы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474"/>
      <c r="O40" s="194">
        <f t="shared" si="9"/>
        <v>0</v>
      </c>
    </row>
    <row r="41" spans="1:15" ht="10.5">
      <c r="A41" s="81" t="s">
        <v>191</v>
      </c>
      <c r="B41" s="462" t="str">
        <f>VLOOKUP(A41,Классификаторы!$A:$B,2,FALSE)</f>
        <v>Прочие внеоборотные активы</v>
      </c>
      <c r="C41" s="112">
        <f>SUM(C42:C43)</f>
        <v>0</v>
      </c>
      <c r="D41" s="112">
        <f aca="true" t="shared" si="10" ref="D41:N41">SUM(D42:D43)</f>
        <v>0</v>
      </c>
      <c r="E41" s="112">
        <f t="shared" si="10"/>
        <v>0</v>
      </c>
      <c r="F41" s="112">
        <f t="shared" si="10"/>
        <v>0</v>
      </c>
      <c r="G41" s="112">
        <f t="shared" si="10"/>
        <v>0</v>
      </c>
      <c r="H41" s="112">
        <f t="shared" si="10"/>
        <v>0</v>
      </c>
      <c r="I41" s="112">
        <f t="shared" si="10"/>
        <v>0</v>
      </c>
      <c r="J41" s="112">
        <f t="shared" si="10"/>
        <v>0</v>
      </c>
      <c r="K41" s="112">
        <f t="shared" si="10"/>
        <v>0</v>
      </c>
      <c r="L41" s="112">
        <f t="shared" si="10"/>
        <v>0</v>
      </c>
      <c r="M41" s="112">
        <f t="shared" si="10"/>
        <v>0</v>
      </c>
      <c r="N41" s="370">
        <f t="shared" si="10"/>
        <v>0</v>
      </c>
      <c r="O41" s="194">
        <f t="shared" si="9"/>
        <v>0</v>
      </c>
    </row>
    <row r="42" spans="1:15" ht="10.5">
      <c r="A42" s="81" t="s">
        <v>192</v>
      </c>
      <c r="B42" s="463" t="str">
        <f>VLOOKUP(A42,Классификаторы!$A:$B,2,FALSE)</f>
        <v>вычислительная техника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474"/>
      <c r="O42" s="194">
        <f t="shared" si="9"/>
        <v>0</v>
      </c>
    </row>
    <row r="43" spans="1:15" s="34" customFormat="1" ht="10.5">
      <c r="A43" s="353" t="s">
        <v>193</v>
      </c>
      <c r="B43" s="463" t="str">
        <f>VLOOKUP(A43,Классификаторы!$A:$B,2,FALSE)</f>
        <v>прочие основные средства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470"/>
      <c r="O43" s="140">
        <f t="shared" si="9"/>
        <v>0</v>
      </c>
    </row>
    <row r="44" spans="1:15" s="34" customFormat="1" ht="10.5">
      <c r="A44" s="538"/>
      <c r="B44" s="539" t="s">
        <v>181</v>
      </c>
      <c r="C44" s="540">
        <f>SUM(C33:C34,C39:C41)</f>
        <v>0</v>
      </c>
      <c r="D44" s="540">
        <f aca="true" t="shared" si="11" ref="D44:N44">SUM(D33:D34,D39:D41)</f>
        <v>0</v>
      </c>
      <c r="E44" s="540">
        <f t="shared" si="11"/>
        <v>0</v>
      </c>
      <c r="F44" s="540">
        <f t="shared" si="11"/>
        <v>0</v>
      </c>
      <c r="G44" s="540">
        <f t="shared" si="11"/>
        <v>0</v>
      </c>
      <c r="H44" s="540">
        <f t="shared" si="11"/>
        <v>0</v>
      </c>
      <c r="I44" s="540">
        <f t="shared" si="11"/>
        <v>0</v>
      </c>
      <c r="J44" s="540">
        <f t="shared" si="11"/>
        <v>0</v>
      </c>
      <c r="K44" s="540">
        <f t="shared" si="11"/>
        <v>0</v>
      </c>
      <c r="L44" s="540">
        <f t="shared" si="11"/>
        <v>0</v>
      </c>
      <c r="M44" s="540">
        <f t="shared" si="11"/>
        <v>0</v>
      </c>
      <c r="N44" s="541">
        <f t="shared" si="11"/>
        <v>0</v>
      </c>
      <c r="O44" s="94">
        <f t="shared" si="9"/>
        <v>0</v>
      </c>
    </row>
    <row r="45" ht="10.5">
      <c r="B45" s="10"/>
    </row>
    <row r="46" spans="1:15" ht="10.5">
      <c r="A46" s="542" t="s">
        <v>180</v>
      </c>
      <c r="B46" s="195"/>
      <c r="C46" s="196">
        <f>C16+C30+C44</f>
        <v>0</v>
      </c>
      <c r="D46" s="196">
        <f aca="true" t="shared" si="12" ref="D46:N46">D16+D30+D44</f>
        <v>0</v>
      </c>
      <c r="E46" s="196">
        <f t="shared" si="12"/>
        <v>0</v>
      </c>
      <c r="F46" s="196">
        <f t="shared" si="12"/>
        <v>0</v>
      </c>
      <c r="G46" s="196">
        <f t="shared" si="12"/>
        <v>0</v>
      </c>
      <c r="H46" s="196">
        <f t="shared" si="12"/>
        <v>0</v>
      </c>
      <c r="I46" s="196">
        <f t="shared" si="12"/>
        <v>0</v>
      </c>
      <c r="J46" s="196">
        <f t="shared" si="12"/>
        <v>0</v>
      </c>
      <c r="K46" s="196">
        <f t="shared" si="12"/>
        <v>0</v>
      </c>
      <c r="L46" s="196">
        <f t="shared" si="12"/>
        <v>0</v>
      </c>
      <c r="M46" s="196">
        <f t="shared" si="12"/>
        <v>0</v>
      </c>
      <c r="N46" s="196">
        <f t="shared" si="12"/>
        <v>0</v>
      </c>
      <c r="O46" s="94">
        <f>SUM(C46:N46)</f>
        <v>0</v>
      </c>
    </row>
  </sheetData>
  <printOptions/>
  <pageMargins left="0.75" right="0.75" top="0.7" bottom="1.29" header="0.5" footer="0.5"/>
  <pageSetup fitToHeight="1" fitToWidth="1" horizontalDpi="300" verticalDpi="300" orientation="landscape" paperSize="9" scale="69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1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7" customWidth="1"/>
    <col min="2" max="2" width="25.00390625" style="27" customWidth="1"/>
    <col min="3" max="3" width="21.75390625" style="27" customWidth="1"/>
    <col min="4" max="15" width="12.00390625" style="27" bestFit="1" customWidth="1"/>
    <col min="16" max="16384" width="9.125" style="27" customWidth="1"/>
  </cols>
  <sheetData>
    <row r="1" spans="1:15" ht="18">
      <c r="A1" s="608"/>
      <c r="C1" s="96" t="s">
        <v>338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0.5">
      <c r="A2" s="3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4:15" ht="11.25" thickBot="1"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45" customFormat="1" ht="10.5">
      <c r="A4" s="239"/>
      <c r="B4" s="240" t="s">
        <v>90</v>
      </c>
      <c r="C4" s="240">
        <v>2007</v>
      </c>
      <c r="D4" s="241">
        <v>39448</v>
      </c>
      <c r="E4" s="241">
        <v>39479</v>
      </c>
      <c r="F4" s="241">
        <v>39508</v>
      </c>
      <c r="G4" s="241">
        <v>39539</v>
      </c>
      <c r="H4" s="241">
        <v>39569</v>
      </c>
      <c r="I4" s="241">
        <v>39600</v>
      </c>
      <c r="J4" s="241">
        <v>39630</v>
      </c>
      <c r="K4" s="241">
        <v>39661</v>
      </c>
      <c r="L4" s="241">
        <v>39692</v>
      </c>
      <c r="M4" s="241">
        <v>39722</v>
      </c>
      <c r="N4" s="241">
        <v>39753</v>
      </c>
      <c r="O4" s="241">
        <v>39783</v>
      </c>
    </row>
    <row r="5" spans="1:15" s="45" customFormat="1" ht="10.5">
      <c r="A5" s="434" t="s">
        <v>206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261"/>
    </row>
    <row r="6" spans="1:15" s="45" customFormat="1" ht="10.5">
      <c r="A6" s="368"/>
      <c r="B6" s="546" t="s">
        <v>213</v>
      </c>
      <c r="C6" s="547"/>
      <c r="D6" s="128">
        <f>C11</f>
        <v>0</v>
      </c>
      <c r="E6" s="128">
        <f aca="true" t="shared" si="0" ref="E6:O6">D11</f>
        <v>0</v>
      </c>
      <c r="F6" s="128">
        <f t="shared" si="0"/>
        <v>0</v>
      </c>
      <c r="G6" s="128">
        <f t="shared" si="0"/>
        <v>0</v>
      </c>
      <c r="H6" s="128">
        <f t="shared" si="0"/>
        <v>0</v>
      </c>
      <c r="I6" s="128">
        <f t="shared" si="0"/>
        <v>0</v>
      </c>
      <c r="J6" s="128">
        <f t="shared" si="0"/>
        <v>0</v>
      </c>
      <c r="K6" s="128">
        <f t="shared" si="0"/>
        <v>0</v>
      </c>
      <c r="L6" s="128">
        <f t="shared" si="0"/>
        <v>0</v>
      </c>
      <c r="M6" s="128">
        <f t="shared" si="0"/>
        <v>0</v>
      </c>
      <c r="N6" s="128">
        <f t="shared" si="0"/>
        <v>0</v>
      </c>
      <c r="O6" s="304">
        <f t="shared" si="0"/>
        <v>0</v>
      </c>
    </row>
    <row r="7" spans="1:15" s="45" customFormat="1" ht="21">
      <c r="A7" s="369"/>
      <c r="B7" s="548" t="s">
        <v>215</v>
      </c>
      <c r="C7" s="549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474"/>
    </row>
    <row r="8" spans="1:15" s="45" customFormat="1" ht="31.5">
      <c r="A8" s="369"/>
      <c r="B8" s="548" t="s">
        <v>220</v>
      </c>
      <c r="C8" s="549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1"/>
    </row>
    <row r="9" spans="1:15" s="45" customFormat="1" ht="42">
      <c r="A9" s="369"/>
      <c r="B9" s="548" t="s">
        <v>221</v>
      </c>
      <c r="C9" s="549"/>
      <c r="D9" s="112">
        <f>D8*(D6+D11)/2</f>
        <v>0</v>
      </c>
      <c r="E9" s="112">
        <f aca="true" t="shared" si="1" ref="E9:O9">E8*(E6+E11)/2</f>
        <v>0</v>
      </c>
      <c r="F9" s="112">
        <f t="shared" si="1"/>
        <v>0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12">
        <f t="shared" si="1"/>
        <v>0</v>
      </c>
      <c r="N9" s="112">
        <f t="shared" si="1"/>
        <v>0</v>
      </c>
      <c r="O9" s="370">
        <f t="shared" si="1"/>
        <v>0</v>
      </c>
    </row>
    <row r="10" spans="1:15" s="45" customFormat="1" ht="21">
      <c r="A10" s="369"/>
      <c r="B10" s="548" t="s">
        <v>216</v>
      </c>
      <c r="C10" s="549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474"/>
    </row>
    <row r="11" spans="1:15" s="45" customFormat="1" ht="10.5">
      <c r="A11" s="372"/>
      <c r="B11" s="552" t="s">
        <v>214</v>
      </c>
      <c r="C11" s="553"/>
      <c r="D11" s="554">
        <f>D6+D7-D10</f>
        <v>0</v>
      </c>
      <c r="E11" s="554">
        <f aca="true" t="shared" si="2" ref="E11:O11">E6+E7-E10</f>
        <v>0</v>
      </c>
      <c r="F11" s="554">
        <f t="shared" si="2"/>
        <v>0</v>
      </c>
      <c r="G11" s="554">
        <f t="shared" si="2"/>
        <v>0</v>
      </c>
      <c r="H11" s="554">
        <f t="shared" si="2"/>
        <v>0</v>
      </c>
      <c r="I11" s="554">
        <f t="shared" si="2"/>
        <v>0</v>
      </c>
      <c r="J11" s="554">
        <f t="shared" si="2"/>
        <v>0</v>
      </c>
      <c r="K11" s="554">
        <f t="shared" si="2"/>
        <v>0</v>
      </c>
      <c r="L11" s="554">
        <f t="shared" si="2"/>
        <v>0</v>
      </c>
      <c r="M11" s="554">
        <f t="shared" si="2"/>
        <v>0</v>
      </c>
      <c r="N11" s="554">
        <f t="shared" si="2"/>
        <v>0</v>
      </c>
      <c r="O11" s="555">
        <f t="shared" si="2"/>
        <v>0</v>
      </c>
    </row>
    <row r="12" spans="1:15" s="254" customFormat="1" ht="10.5">
      <c r="A12" s="543"/>
      <c r="B12" s="544"/>
      <c r="C12" s="544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</row>
    <row r="13" spans="1:15" s="45" customFormat="1" ht="10.5">
      <c r="A13" s="434" t="s">
        <v>219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261"/>
    </row>
    <row r="14" spans="1:15" s="45" customFormat="1" ht="10.5">
      <c r="A14" s="368"/>
      <c r="B14" s="546" t="s">
        <v>213</v>
      </c>
      <c r="C14" s="547"/>
      <c r="D14" s="128">
        <f>C19</f>
        <v>0</v>
      </c>
      <c r="E14" s="128">
        <f aca="true" t="shared" si="3" ref="E14:O14">D19</f>
        <v>0</v>
      </c>
      <c r="F14" s="128">
        <f t="shared" si="3"/>
        <v>0</v>
      </c>
      <c r="G14" s="128">
        <f t="shared" si="3"/>
        <v>0</v>
      </c>
      <c r="H14" s="128">
        <f t="shared" si="3"/>
        <v>0</v>
      </c>
      <c r="I14" s="128">
        <f t="shared" si="3"/>
        <v>0</v>
      </c>
      <c r="J14" s="128">
        <f t="shared" si="3"/>
        <v>0</v>
      </c>
      <c r="K14" s="128">
        <f t="shared" si="3"/>
        <v>0</v>
      </c>
      <c r="L14" s="128">
        <f t="shared" si="3"/>
        <v>0</v>
      </c>
      <c r="M14" s="128">
        <f t="shared" si="3"/>
        <v>0</v>
      </c>
      <c r="N14" s="128">
        <f t="shared" si="3"/>
        <v>0</v>
      </c>
      <c r="O14" s="304">
        <f t="shared" si="3"/>
        <v>0</v>
      </c>
    </row>
    <row r="15" spans="1:15" s="45" customFormat="1" ht="21">
      <c r="A15" s="369"/>
      <c r="B15" s="548" t="s">
        <v>217</v>
      </c>
      <c r="C15" s="549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474"/>
    </row>
    <row r="16" spans="1:15" s="45" customFormat="1" ht="31.5">
      <c r="A16" s="369"/>
      <c r="B16" s="548" t="s">
        <v>222</v>
      </c>
      <c r="C16" s="549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1"/>
    </row>
    <row r="17" spans="1:15" s="45" customFormat="1" ht="42">
      <c r="A17" s="369"/>
      <c r="B17" s="548" t="s">
        <v>223</v>
      </c>
      <c r="C17" s="549"/>
      <c r="D17" s="112">
        <f aca="true" t="shared" si="4" ref="D17:O17">D16*(D14+D19)/2</f>
        <v>0</v>
      </c>
      <c r="E17" s="112">
        <f t="shared" si="4"/>
        <v>0</v>
      </c>
      <c r="F17" s="112">
        <f t="shared" si="4"/>
        <v>0</v>
      </c>
      <c r="G17" s="112">
        <f t="shared" si="4"/>
        <v>0</v>
      </c>
      <c r="H17" s="112">
        <f t="shared" si="4"/>
        <v>0</v>
      </c>
      <c r="I17" s="112">
        <f t="shared" si="4"/>
        <v>0</v>
      </c>
      <c r="J17" s="112">
        <f t="shared" si="4"/>
        <v>0</v>
      </c>
      <c r="K17" s="112">
        <f t="shared" si="4"/>
        <v>0</v>
      </c>
      <c r="L17" s="112">
        <f t="shared" si="4"/>
        <v>0</v>
      </c>
      <c r="M17" s="112">
        <f t="shared" si="4"/>
        <v>0</v>
      </c>
      <c r="N17" s="112">
        <f t="shared" si="4"/>
        <v>0</v>
      </c>
      <c r="O17" s="370">
        <f t="shared" si="4"/>
        <v>0</v>
      </c>
    </row>
    <row r="18" spans="1:15" s="45" customFormat="1" ht="21">
      <c r="A18" s="369"/>
      <c r="B18" s="548" t="s">
        <v>218</v>
      </c>
      <c r="C18" s="549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474"/>
    </row>
    <row r="19" spans="1:15" s="45" customFormat="1" ht="10.5">
      <c r="A19" s="372"/>
      <c r="B19" s="552" t="s">
        <v>214</v>
      </c>
      <c r="C19" s="553"/>
      <c r="D19" s="554">
        <f aca="true" t="shared" si="5" ref="D19:O19">D14+D15-D18</f>
        <v>0</v>
      </c>
      <c r="E19" s="554">
        <f t="shared" si="5"/>
        <v>0</v>
      </c>
      <c r="F19" s="554">
        <f t="shared" si="5"/>
        <v>0</v>
      </c>
      <c r="G19" s="554">
        <f t="shared" si="5"/>
        <v>0</v>
      </c>
      <c r="H19" s="554">
        <f t="shared" si="5"/>
        <v>0</v>
      </c>
      <c r="I19" s="554">
        <f t="shared" si="5"/>
        <v>0</v>
      </c>
      <c r="J19" s="554">
        <f t="shared" si="5"/>
        <v>0</v>
      </c>
      <c r="K19" s="554">
        <f t="shared" si="5"/>
        <v>0</v>
      </c>
      <c r="L19" s="554">
        <f t="shared" si="5"/>
        <v>0</v>
      </c>
      <c r="M19" s="554">
        <f t="shared" si="5"/>
        <v>0</v>
      </c>
      <c r="N19" s="554">
        <f t="shared" si="5"/>
        <v>0</v>
      </c>
      <c r="O19" s="555">
        <f t="shared" si="5"/>
        <v>0</v>
      </c>
    </row>
    <row r="20" spans="1:15" s="254" customFormat="1" ht="10.5">
      <c r="A20" s="110"/>
      <c r="B20" s="248"/>
      <c r="C20" s="248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</row>
    <row r="21" spans="1:15" s="254" customFormat="1" ht="10.5">
      <c r="A21" s="110"/>
      <c r="B21" s="248"/>
      <c r="C21" s="2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</sheetData>
  <printOptions/>
  <pageMargins left="0.75" right="0.75" top="0.71" bottom="1.3" header="0.5" footer="0.5"/>
  <pageSetup fitToHeight="1" fitToWidth="1" horizontalDpi="300" verticalDpi="300" orientation="landscape" paperSize="9" scale="65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48"/>
  <sheetViews>
    <sheetView view="pageBreakPreview" zoomScaleSheetLayoutView="100" workbookViewId="0" topLeftCell="A1">
      <pane ySplit="1" topLeftCell="BM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4.375" style="27" customWidth="1"/>
    <col min="2" max="2" width="12.625" style="27" customWidth="1"/>
    <col min="3" max="11" width="12.375" style="27" customWidth="1"/>
    <col min="12" max="14" width="12.375" style="27" bestFit="1" customWidth="1"/>
    <col min="15" max="18" width="9.125" style="27" customWidth="1"/>
    <col min="19" max="19" width="9.00390625" style="27" bestFit="1" customWidth="1"/>
    <col min="20" max="16384" width="9.125" style="27" customWidth="1"/>
  </cols>
  <sheetData>
    <row r="1" spans="1:14" ht="18">
      <c r="A1" s="608"/>
      <c r="C1" s="96" t="s">
        <v>339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3:14" ht="10.5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3:14" ht="11.25" thickBo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0.5">
      <c r="A4" s="55" t="s">
        <v>132</v>
      </c>
      <c r="B4" s="55">
        <v>2007</v>
      </c>
      <c r="C4" s="56">
        <v>39448</v>
      </c>
      <c r="D4" s="56">
        <v>39479</v>
      </c>
      <c r="E4" s="56">
        <v>39508</v>
      </c>
      <c r="F4" s="56">
        <v>39539</v>
      </c>
      <c r="G4" s="56">
        <v>39569</v>
      </c>
      <c r="H4" s="56">
        <v>39600</v>
      </c>
      <c r="I4" s="56">
        <v>39630</v>
      </c>
      <c r="J4" s="56">
        <v>39661</v>
      </c>
      <c r="K4" s="56">
        <v>39692</v>
      </c>
      <c r="L4" s="56">
        <v>39722</v>
      </c>
      <c r="M4" s="56">
        <v>39753</v>
      </c>
      <c r="N4" s="56">
        <v>39783</v>
      </c>
    </row>
    <row r="5" spans="1:17" ht="10.5">
      <c r="A5" s="558" t="s">
        <v>195</v>
      </c>
      <c r="B5" s="559">
        <f>SUM(B6:B15)</f>
        <v>0</v>
      </c>
      <c r="C5" s="559">
        <f aca="true" t="shared" si="0" ref="C5:N5">SUM(C6:C15)</f>
        <v>0</v>
      </c>
      <c r="D5" s="559">
        <f t="shared" si="0"/>
        <v>0</v>
      </c>
      <c r="E5" s="559">
        <f t="shared" si="0"/>
        <v>0</v>
      </c>
      <c r="F5" s="559">
        <f t="shared" si="0"/>
        <v>0</v>
      </c>
      <c r="G5" s="559">
        <f t="shared" si="0"/>
        <v>0</v>
      </c>
      <c r="H5" s="559">
        <f t="shared" si="0"/>
        <v>0</v>
      </c>
      <c r="I5" s="559">
        <f t="shared" si="0"/>
        <v>0</v>
      </c>
      <c r="J5" s="559">
        <f t="shared" si="0"/>
        <v>0</v>
      </c>
      <c r="K5" s="559">
        <f t="shared" si="0"/>
        <v>0</v>
      </c>
      <c r="L5" s="559">
        <f t="shared" si="0"/>
        <v>0</v>
      </c>
      <c r="M5" s="559">
        <f t="shared" si="0"/>
        <v>0</v>
      </c>
      <c r="N5" s="560">
        <f t="shared" si="0"/>
        <v>0</v>
      </c>
      <c r="P5" s="28"/>
      <c r="Q5" s="28"/>
    </row>
    <row r="6" spans="1:17" ht="10.5">
      <c r="A6" s="562" t="s">
        <v>196</v>
      </c>
      <c r="B6" s="563"/>
      <c r="C6" s="564">
        <f>B6+C7-SUM('Общепроизвод расходы'!C6:C7)/1000</f>
        <v>0</v>
      </c>
      <c r="D6" s="564">
        <f>C6+D7+C8-SUM('Общепроизвод расходы'!D6:D7,'Общепроизвод расходы'!D131:D132,'Общепроизвод расходы'!D172:D173,'Общепроизвод расходы'!D212:D213,'Общепроизвод расходы'!D253:D254)/1000</f>
        <v>0</v>
      </c>
      <c r="E6" s="564">
        <f>D6+E7+D8-SUM('Общепроизвод расходы'!E6:E7,'Общепроизвод расходы'!E131:E132,'Общепроизвод расходы'!E172:E173,'Общепроизвод расходы'!E212:E213,'Общепроизвод расходы'!E253:E254)/1000</f>
        <v>0</v>
      </c>
      <c r="F6" s="564">
        <f>E6+F7+E8-SUM('Общепроизвод расходы'!F6:F7,'Общепроизвод расходы'!F131:F132,'Общепроизвод расходы'!F172:F173,'Общепроизвод расходы'!F212:F213,'Общепроизвод расходы'!F253:F254)/1000</f>
        <v>0</v>
      </c>
      <c r="G6" s="564">
        <f>F6+G7+F8-SUM('Общепроизвод расходы'!G6:G7,'Общепроизвод расходы'!G131:G132,'Общепроизвод расходы'!G172:G173,'Общепроизвод расходы'!G212:G213,'Общепроизвод расходы'!G253:G254)/1000</f>
        <v>0</v>
      </c>
      <c r="H6" s="564">
        <f>G6+H7+G8-SUM('Общепроизвод расходы'!H6:H7,'Общепроизвод расходы'!H131:H132,'Общепроизвод расходы'!H172:H173,'Общепроизвод расходы'!H212:H213,'Общепроизвод расходы'!H253:H254)/1000</f>
        <v>0</v>
      </c>
      <c r="I6" s="564">
        <f>H6+I7+H8-SUM('Общепроизвод расходы'!I6:I7,'Общепроизвод расходы'!I131:I132,'Общепроизвод расходы'!I172:I173,'Общепроизвод расходы'!I212:I213,'Общепроизвод расходы'!I253:I254)/1000</f>
        <v>0</v>
      </c>
      <c r="J6" s="564">
        <f>I6+J7+I8-SUM('Общепроизвод расходы'!J6:J7,'Общепроизвод расходы'!J131:J132,'Общепроизвод расходы'!J172:J173,'Общепроизвод расходы'!J212:J213,'Общепроизвод расходы'!J253:J254)/1000</f>
        <v>0</v>
      </c>
      <c r="K6" s="564">
        <f>J6+K7+J8-SUM('Общепроизвод расходы'!K6:K7,'Общепроизвод расходы'!K131:K132,'Общепроизвод расходы'!K172:K173,'Общепроизвод расходы'!K212:K213,'Общепроизвод расходы'!K253:K254)/1000</f>
        <v>0</v>
      </c>
      <c r="L6" s="564">
        <f>K6+L7+K8-SUM('Общепроизвод расходы'!L6:L7,'Общепроизвод расходы'!L131:L132,'Общепроизвод расходы'!L172:L173,'Общепроизвод расходы'!L212:L213,'Общепроизвод расходы'!L253:L254)/1000</f>
        <v>0</v>
      </c>
      <c r="M6" s="564">
        <f>L6+M7+L8-SUM('Общепроизвод расходы'!M6:M7,'Общепроизвод расходы'!M131:M132,'Общепроизвод расходы'!M172:M173,'Общепроизвод расходы'!M212:M213,'Общепроизвод расходы'!M253:M254)/1000</f>
        <v>0</v>
      </c>
      <c r="N6" s="565">
        <f>M6+N7+M8-SUM('Общепроизвод расходы'!N6:N7,'Общепроизвод расходы'!N131:N132,'Общепроизвод расходы'!N172:N173,'Общепроизвод расходы'!N212:N213,'Общепроизвод расходы'!N253:N254)/1000</f>
        <v>0</v>
      </c>
      <c r="P6" s="28"/>
      <c r="Q6" s="28"/>
    </row>
    <row r="7" spans="1:17" ht="10.5">
      <c r="A7" s="566" t="s">
        <v>76</v>
      </c>
      <c r="B7" s="567"/>
      <c r="C7" s="112">
        <f>IF(Оборачиваемость!C$13&lt;30,Инвестиции!C46*(30-Оборачиваемость!C$13)/30,0)/1000</f>
        <v>0</v>
      </c>
      <c r="D7" s="112">
        <f>IF(Оборачиваемость!D$13&lt;30,Инвестиции!D46*(30-Оборачиваемость!D$13)/30,0)/1000</f>
        <v>0</v>
      </c>
      <c r="E7" s="112">
        <f>IF(Оборачиваемость!E$13&lt;30,Инвестиции!E46*(30-Оборачиваемость!E$13)/30,0)/1000</f>
        <v>0</v>
      </c>
      <c r="F7" s="112">
        <f>IF(Оборачиваемость!F$13&lt;30,Инвестиции!F46*(30-Оборачиваемость!F$13)/30,0)/1000</f>
        <v>0</v>
      </c>
      <c r="G7" s="112">
        <f>IF(Оборачиваемость!G$13&lt;30,Инвестиции!G46*(30-Оборачиваемость!G$13)/30,0)/1000</f>
        <v>0</v>
      </c>
      <c r="H7" s="112">
        <f>IF(Оборачиваемость!H$13&lt;30,Инвестиции!H46*(30-Оборачиваемость!H$13)/30,0)/1000</f>
        <v>0</v>
      </c>
      <c r="I7" s="112">
        <f>IF(Оборачиваемость!I$13&lt;30,Инвестиции!I46*(30-Оборачиваемость!I$13)/30,0)/1000</f>
        <v>0</v>
      </c>
      <c r="J7" s="112">
        <f>IF(Оборачиваемость!J$13&lt;30,Инвестиции!J46*(30-Оборачиваемость!J$13)/30,0)/1000</f>
        <v>0</v>
      </c>
      <c r="K7" s="112">
        <f>IF(Оборачиваемость!K$13&lt;30,Инвестиции!K46*(30-Оборачиваемость!K$13)/30,0)/1000</f>
        <v>0</v>
      </c>
      <c r="L7" s="112">
        <f>IF(Оборачиваемость!L$13&lt;30,Инвестиции!L46*(30-Оборачиваемость!L$13)/30,0)/1000</f>
        <v>0</v>
      </c>
      <c r="M7" s="112">
        <f>IF(Оборачиваемость!M$13&lt;30,Инвестиции!M46*(30-Оборачиваемость!M$13)/30,0)/1000</f>
        <v>0</v>
      </c>
      <c r="N7" s="370">
        <f>IF(Оборачиваемость!N$13&lt;30,Инвестиции!N46*(30-Оборачиваемость!N$13)/30,0)/1000</f>
        <v>0</v>
      </c>
      <c r="P7" s="28"/>
      <c r="Q7" s="28"/>
    </row>
    <row r="8" spans="1:17" ht="10.5">
      <c r="A8" s="566" t="s">
        <v>77</v>
      </c>
      <c r="B8" s="567"/>
      <c r="C8" s="112">
        <f>IF(Оборачиваемость!C$13&gt;=30,Инвестиции!C46*(60-Оборачиваемость!C$13)/30,Инвестиции!C46*Оборачиваемость!C$13/30)/1000</f>
        <v>0</v>
      </c>
      <c r="D8" s="112">
        <f>IF(Оборачиваемость!D$13&gt;=30,Инвестиции!D46*(60-Оборачиваемость!D$13)/30,Инвестиции!D46*Оборачиваемость!D$13/30)/1000</f>
        <v>0</v>
      </c>
      <c r="E8" s="112">
        <f>IF(Оборачиваемость!E$13&gt;=30,Инвестиции!E46*(60-Оборачиваемость!E$13)/30,Инвестиции!E46*Оборачиваемость!E$13/30)/1000</f>
        <v>0</v>
      </c>
      <c r="F8" s="112">
        <f>IF(Оборачиваемость!F$13&gt;=30,Инвестиции!F46*(60-Оборачиваемость!F$13)/30,Инвестиции!F46*Оборачиваемость!F$13/30)/1000</f>
        <v>0</v>
      </c>
      <c r="G8" s="112">
        <f>IF(Оборачиваемость!G$13&gt;=30,Инвестиции!G46*(60-Оборачиваемость!G$13)/30,Инвестиции!G46*Оборачиваемость!G$13/30)/1000</f>
        <v>0</v>
      </c>
      <c r="H8" s="112">
        <f>IF(Оборачиваемость!H$13&gt;=30,Инвестиции!H46*(60-Оборачиваемость!H$13)/30,Инвестиции!H46*Оборачиваемость!H$13/30)/1000</f>
        <v>0</v>
      </c>
      <c r="I8" s="112">
        <f>IF(Оборачиваемость!I$13&gt;=30,Инвестиции!I46*(60-Оборачиваемость!I$13)/30,Инвестиции!I46*Оборачиваемость!I$13/30)/1000</f>
        <v>0</v>
      </c>
      <c r="J8" s="112">
        <f>IF(Оборачиваемость!J$13&gt;=30,Инвестиции!J46*(60-Оборачиваемость!J$13)/30,Инвестиции!J46*Оборачиваемость!J$13/30)/1000</f>
        <v>0</v>
      </c>
      <c r="K8" s="112">
        <f>IF(Оборачиваемость!K$13&gt;=30,Инвестиции!K46*(60-Оборачиваемость!K$13)/30,Инвестиции!K46*Оборачиваемость!K$13/30)/1000</f>
        <v>0</v>
      </c>
      <c r="L8" s="112">
        <f>IF(Оборачиваемость!L$13&gt;=30,Инвестиции!L46*(60-Оборачиваемость!L$13)/30,Инвестиции!L46*Оборачиваемость!L$13/30)/1000</f>
        <v>0</v>
      </c>
      <c r="M8" s="112">
        <f>IF(Оборачиваемость!M$13&gt;=30,Инвестиции!M46*(60-Оборачиваемость!M$13)/30,Инвестиции!M46*Оборачиваемость!M$13/30)/1000</f>
        <v>0</v>
      </c>
      <c r="N8" s="370">
        <f>IF(Оборачиваемость!N$13&gt;=30,Инвестиции!N46*(60-Оборачиваемость!N$13)/30,Инвестиции!N46*Оборачиваемость!N$13/30)/1000</f>
        <v>0</v>
      </c>
      <c r="P8" s="28"/>
      <c r="Q8" s="28"/>
    </row>
    <row r="9" spans="1:17" ht="10.5">
      <c r="A9" s="562" t="s">
        <v>176</v>
      </c>
      <c r="B9" s="567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8"/>
      <c r="P9" s="28"/>
      <c r="Q9" s="28"/>
    </row>
    <row r="10" spans="1:17" ht="21">
      <c r="A10" s="562" t="s">
        <v>197</v>
      </c>
      <c r="B10" s="563"/>
      <c r="C10" s="564">
        <f>B10+Инвестиции!C46/1000-Баланс!C7</f>
        <v>0</v>
      </c>
      <c r="D10" s="564">
        <f>C10+Инвестиции!D46/1000-Баланс!D7-C8</f>
        <v>0</v>
      </c>
      <c r="E10" s="564">
        <f>D10+Инвестиции!E46/1000-Баланс!E7-D8</f>
        <v>0</v>
      </c>
      <c r="F10" s="564">
        <f>E10+Инвестиции!F46/1000-Баланс!F7-E8</f>
        <v>0</v>
      </c>
      <c r="G10" s="564">
        <f>F10+Инвестиции!G46/1000-Баланс!G7-F8</f>
        <v>0</v>
      </c>
      <c r="H10" s="564">
        <f>G10+Инвестиции!H46/1000-Баланс!H7-G8</f>
        <v>0</v>
      </c>
      <c r="I10" s="564">
        <f>H10+Инвестиции!I46/1000-Баланс!I7-H8</f>
        <v>0</v>
      </c>
      <c r="J10" s="564">
        <f>I10+Инвестиции!J46/1000-Баланс!J7-I8</f>
        <v>0</v>
      </c>
      <c r="K10" s="564">
        <f>J10+Инвестиции!K46/1000-Баланс!K7-J8</f>
        <v>0</v>
      </c>
      <c r="L10" s="564">
        <f>K10+Инвестиции!L46/1000-Баланс!L7-K8</f>
        <v>0</v>
      </c>
      <c r="M10" s="564">
        <f>L10+Инвестиции!M46/1000-Баланс!M7-L8</f>
        <v>0</v>
      </c>
      <c r="N10" s="565">
        <f>M10+Инвестиции!N46/1000-Баланс!N7-M8</f>
        <v>0</v>
      </c>
      <c r="P10" s="28"/>
      <c r="Q10" s="28"/>
    </row>
    <row r="11" spans="1:17" ht="21">
      <c r="A11" s="562" t="s">
        <v>377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8"/>
      <c r="P11" s="28"/>
      <c r="Q11" s="28"/>
    </row>
    <row r="12" spans="1:17" ht="21">
      <c r="A12" s="562" t="s">
        <v>276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8"/>
      <c r="P12" s="28"/>
      <c r="Q12" s="28"/>
    </row>
    <row r="13" spans="1:17" ht="21">
      <c r="A13" s="562" t="s">
        <v>277</v>
      </c>
      <c r="B13" s="567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8"/>
      <c r="P13" s="28"/>
      <c r="Q13" s="28"/>
    </row>
    <row r="14" spans="1:17" ht="21">
      <c r="A14" s="562" t="s">
        <v>278</v>
      </c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8"/>
      <c r="P14" s="28"/>
      <c r="Q14" s="28"/>
    </row>
    <row r="15" spans="1:14" ht="10.5">
      <c r="A15" s="569"/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1"/>
    </row>
    <row r="16" spans="1:18" s="34" customFormat="1" ht="10.5">
      <c r="A16" s="572" t="s">
        <v>198</v>
      </c>
      <c r="B16" s="573">
        <f>SUM(B18:B23)</f>
        <v>0</v>
      </c>
      <c r="C16" s="573">
        <f aca="true" t="shared" si="1" ref="C16:N16">SUM(C18:C23)</f>
        <v>0</v>
      </c>
      <c r="D16" s="573">
        <f t="shared" si="1"/>
        <v>0</v>
      </c>
      <c r="E16" s="573">
        <f t="shared" si="1"/>
        <v>0</v>
      </c>
      <c r="F16" s="573">
        <f t="shared" si="1"/>
        <v>0</v>
      </c>
      <c r="G16" s="573">
        <f t="shared" si="1"/>
        <v>0</v>
      </c>
      <c r="H16" s="573">
        <f t="shared" si="1"/>
        <v>0</v>
      </c>
      <c r="I16" s="573">
        <f t="shared" si="1"/>
        <v>0</v>
      </c>
      <c r="J16" s="573">
        <f t="shared" si="1"/>
        <v>0</v>
      </c>
      <c r="K16" s="573">
        <f t="shared" si="1"/>
        <v>0</v>
      </c>
      <c r="L16" s="573">
        <f t="shared" si="1"/>
        <v>0</v>
      </c>
      <c r="M16" s="573">
        <f t="shared" si="1"/>
        <v>0</v>
      </c>
      <c r="N16" s="574">
        <f t="shared" si="1"/>
        <v>0</v>
      </c>
      <c r="P16" s="28"/>
      <c r="Q16" s="28"/>
      <c r="R16" s="28"/>
    </row>
    <row r="17" spans="1:18" s="34" customFormat="1" ht="21">
      <c r="A17" s="572" t="s">
        <v>306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8"/>
      <c r="P17" s="28"/>
      <c r="Q17" s="28"/>
      <c r="R17" s="28"/>
    </row>
    <row r="18" spans="1:18" ht="21">
      <c r="A18" s="562" t="s">
        <v>199</v>
      </c>
      <c r="B18" s="564">
        <f>Оборачиваемость!B76/1000</f>
        <v>0</v>
      </c>
      <c r="C18" s="564">
        <f>Оборачиваемость!C76/1000</f>
        <v>0</v>
      </c>
      <c r="D18" s="564">
        <f>Оборачиваемость!D76/1000</f>
        <v>0</v>
      </c>
      <c r="E18" s="564">
        <f>Оборачиваемость!E76/1000</f>
        <v>0</v>
      </c>
      <c r="F18" s="564">
        <f>Оборачиваемость!F76/1000</f>
        <v>0</v>
      </c>
      <c r="G18" s="564">
        <f>Оборачиваемость!G76/1000</f>
        <v>0</v>
      </c>
      <c r="H18" s="564">
        <f>Оборачиваемость!H76/1000</f>
        <v>0</v>
      </c>
      <c r="I18" s="564">
        <f>Оборачиваемость!I76/1000</f>
        <v>0</v>
      </c>
      <c r="J18" s="564">
        <f>Оборачиваемость!J76/1000</f>
        <v>0</v>
      </c>
      <c r="K18" s="564">
        <f>Оборачиваемость!K76/1000</f>
        <v>0</v>
      </c>
      <c r="L18" s="564">
        <f>Оборачиваемость!L76/1000</f>
        <v>0</v>
      </c>
      <c r="M18" s="564">
        <f>Оборачиваемость!M76/1000</f>
        <v>0</v>
      </c>
      <c r="N18" s="565">
        <f>Оборачиваемость!N76/1000</f>
        <v>0</v>
      </c>
      <c r="P18" s="28"/>
      <c r="Q18" s="28"/>
      <c r="R18" s="28"/>
    </row>
    <row r="19" spans="1:18" ht="10.5">
      <c r="A19" s="562" t="s">
        <v>200</v>
      </c>
      <c r="B19" s="564">
        <f>Оборачиваемость!C46/1000</f>
        <v>0</v>
      </c>
      <c r="C19" s="564">
        <f>Оборачиваемость!D46/1000</f>
        <v>0</v>
      </c>
      <c r="D19" s="564">
        <f>Оборачиваемость!E46/1000</f>
        <v>0</v>
      </c>
      <c r="E19" s="564">
        <f>Оборачиваемость!F46/1000</f>
        <v>0</v>
      </c>
      <c r="F19" s="564">
        <f>Оборачиваемость!G46/1000</f>
        <v>0</v>
      </c>
      <c r="G19" s="564">
        <f>Оборачиваемость!H46/1000</f>
        <v>0</v>
      </c>
      <c r="H19" s="564">
        <f>Оборачиваемость!I46/1000</f>
        <v>0</v>
      </c>
      <c r="I19" s="564">
        <f>Оборачиваемость!J46/1000</f>
        <v>0</v>
      </c>
      <c r="J19" s="564">
        <f>Оборачиваемость!K46/1000</f>
        <v>0</v>
      </c>
      <c r="K19" s="564">
        <f>Оборачиваемость!L46/1000</f>
        <v>0</v>
      </c>
      <c r="L19" s="564">
        <f>Оборачиваемость!M46/1000</f>
        <v>0</v>
      </c>
      <c r="M19" s="564">
        <f>Оборачиваемость!N46/1000</f>
        <v>0</v>
      </c>
      <c r="N19" s="565">
        <f>Оборачиваемость!O46/1000</f>
        <v>0</v>
      </c>
      <c r="P19" s="28"/>
      <c r="Q19" s="28"/>
      <c r="R19" s="28"/>
    </row>
    <row r="20" spans="1:18" ht="10.5">
      <c r="A20" s="562" t="s">
        <v>210</v>
      </c>
      <c r="B20" s="563"/>
      <c r="C20" s="564">
        <f>B20+(Продажи!C88-Продажи!C90)/1000</f>
        <v>0</v>
      </c>
      <c r="D20" s="564">
        <f>C20+(Продажи!D88-Продажи!D90)/1000</f>
        <v>0</v>
      </c>
      <c r="E20" s="564">
        <f>D20+(Продажи!E88-Продажи!E90)/1000</f>
        <v>0</v>
      </c>
      <c r="F20" s="564">
        <f>E20+(Продажи!F88-Продажи!F90)/1000</f>
        <v>0</v>
      </c>
      <c r="G20" s="564">
        <f>F20+(Продажи!G88-Продажи!G90)/1000</f>
        <v>0</v>
      </c>
      <c r="H20" s="564">
        <f>G20+(Продажи!H88-Продажи!H90)/1000</f>
        <v>0</v>
      </c>
      <c r="I20" s="564">
        <f>H20+(Продажи!I88-Продажи!I90)/1000</f>
        <v>0</v>
      </c>
      <c r="J20" s="564">
        <f>I20+(Продажи!J88-Продажи!J90)/1000</f>
        <v>0</v>
      </c>
      <c r="K20" s="564">
        <f>J20+(Продажи!K88-Продажи!K90)/1000</f>
        <v>0</v>
      </c>
      <c r="L20" s="564">
        <f>K20+(Продажи!L88-Продажи!L90)/1000</f>
        <v>0</v>
      </c>
      <c r="M20" s="564">
        <f>L20+(Продажи!M88-Продажи!M90)/1000</f>
        <v>0</v>
      </c>
      <c r="N20" s="565">
        <f>M20+(Продажи!N88-Продажи!N90)/1000</f>
        <v>0</v>
      </c>
      <c r="P20" s="28"/>
      <c r="Q20" s="28"/>
      <c r="R20" s="28"/>
    </row>
    <row r="21" spans="1:18" ht="10.5">
      <c r="A21" s="562" t="s">
        <v>201</v>
      </c>
      <c r="B21" s="564">
        <f aca="true" t="shared" si="2" ref="B21:N21">B46-B5-B18-B19-B20</f>
        <v>0</v>
      </c>
      <c r="C21" s="564">
        <f t="shared" si="2"/>
        <v>0</v>
      </c>
      <c r="D21" s="564">
        <f t="shared" si="2"/>
        <v>0</v>
      </c>
      <c r="E21" s="564">
        <f t="shared" si="2"/>
        <v>0</v>
      </c>
      <c r="F21" s="564">
        <f t="shared" si="2"/>
        <v>0</v>
      </c>
      <c r="G21" s="564">
        <f t="shared" si="2"/>
        <v>0</v>
      </c>
      <c r="H21" s="564">
        <f t="shared" si="2"/>
        <v>0</v>
      </c>
      <c r="I21" s="564">
        <f t="shared" si="2"/>
        <v>0</v>
      </c>
      <c r="J21" s="564">
        <f t="shared" si="2"/>
        <v>0</v>
      </c>
      <c r="K21" s="564">
        <f t="shared" si="2"/>
        <v>0</v>
      </c>
      <c r="L21" s="564">
        <f t="shared" si="2"/>
        <v>0</v>
      </c>
      <c r="M21" s="564">
        <f t="shared" si="2"/>
        <v>0</v>
      </c>
      <c r="N21" s="565">
        <f t="shared" si="2"/>
        <v>0</v>
      </c>
      <c r="P21" s="28"/>
      <c r="Q21" s="28"/>
      <c r="R21" s="28"/>
    </row>
    <row r="22" spans="1:18" s="34" customFormat="1" ht="21">
      <c r="A22" s="572" t="s">
        <v>305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8"/>
      <c r="P22" s="28"/>
      <c r="Q22" s="28"/>
      <c r="R22" s="28"/>
    </row>
    <row r="23" spans="1:18" ht="10.5">
      <c r="A23" s="575"/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7"/>
      <c r="R23" s="28"/>
    </row>
    <row r="24" spans="1:18" ht="10.5">
      <c r="A24" s="249" t="s">
        <v>205</v>
      </c>
      <c r="B24" s="250">
        <f>B5+B16</f>
        <v>0</v>
      </c>
      <c r="C24" s="250">
        <f aca="true" t="shared" si="3" ref="C24:N24">C5+C16</f>
        <v>0</v>
      </c>
      <c r="D24" s="250">
        <f t="shared" si="3"/>
        <v>0</v>
      </c>
      <c r="E24" s="250">
        <f t="shared" si="3"/>
        <v>0</v>
      </c>
      <c r="F24" s="250">
        <f t="shared" si="3"/>
        <v>0</v>
      </c>
      <c r="G24" s="250">
        <f t="shared" si="3"/>
        <v>0</v>
      </c>
      <c r="H24" s="250">
        <f t="shared" si="3"/>
        <v>0</v>
      </c>
      <c r="I24" s="250">
        <f t="shared" si="3"/>
        <v>0</v>
      </c>
      <c r="J24" s="250">
        <f t="shared" si="3"/>
        <v>0</v>
      </c>
      <c r="K24" s="250">
        <f t="shared" si="3"/>
        <v>0</v>
      </c>
      <c r="L24" s="250">
        <f t="shared" si="3"/>
        <v>0</v>
      </c>
      <c r="M24" s="250">
        <f t="shared" si="3"/>
        <v>0</v>
      </c>
      <c r="N24" s="556">
        <f t="shared" si="3"/>
        <v>0</v>
      </c>
      <c r="P24" s="28"/>
      <c r="Q24" s="28"/>
      <c r="R24" s="28"/>
    </row>
    <row r="25" spans="1:18" ht="10.5">
      <c r="A25" s="558"/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9"/>
      <c r="R25" s="28"/>
    </row>
    <row r="26" spans="1:19" ht="10.5">
      <c r="A26" s="572" t="s">
        <v>202</v>
      </c>
      <c r="B26" s="573">
        <f>SUM(B27:B31)</f>
        <v>0</v>
      </c>
      <c r="C26" s="573">
        <f aca="true" t="shared" si="4" ref="C26:N26">SUM(C27:C31)</f>
        <v>0</v>
      </c>
      <c r="D26" s="573">
        <f t="shared" si="4"/>
        <v>0</v>
      </c>
      <c r="E26" s="573">
        <f t="shared" si="4"/>
        <v>0</v>
      </c>
      <c r="F26" s="573">
        <f t="shared" si="4"/>
        <v>0</v>
      </c>
      <c r="G26" s="573">
        <f t="shared" si="4"/>
        <v>0</v>
      </c>
      <c r="H26" s="573">
        <f t="shared" si="4"/>
        <v>0</v>
      </c>
      <c r="I26" s="573">
        <f t="shared" si="4"/>
        <v>0</v>
      </c>
      <c r="J26" s="573">
        <f t="shared" si="4"/>
        <v>0</v>
      </c>
      <c r="K26" s="573">
        <f t="shared" si="4"/>
        <v>0</v>
      </c>
      <c r="L26" s="573">
        <f t="shared" si="4"/>
        <v>0</v>
      </c>
      <c r="M26" s="573">
        <f t="shared" si="4"/>
        <v>0</v>
      </c>
      <c r="N26" s="574">
        <f t="shared" si="4"/>
        <v>0</v>
      </c>
      <c r="P26" s="28"/>
      <c r="Q26" s="28"/>
      <c r="R26" s="28"/>
      <c r="S26" s="251"/>
    </row>
    <row r="27" spans="1:19" ht="10.5">
      <c r="A27" s="562" t="s">
        <v>203</v>
      </c>
      <c r="B27" s="563"/>
      <c r="C27" s="564">
        <f>B27</f>
        <v>0</v>
      </c>
      <c r="D27" s="564">
        <f aca="true" t="shared" si="5" ref="D27:N27">C27</f>
        <v>0</v>
      </c>
      <c r="E27" s="564">
        <f t="shared" si="5"/>
        <v>0</v>
      </c>
      <c r="F27" s="564">
        <f t="shared" si="5"/>
        <v>0</v>
      </c>
      <c r="G27" s="564">
        <f t="shared" si="5"/>
        <v>0</v>
      </c>
      <c r="H27" s="564">
        <f t="shared" si="5"/>
        <v>0</v>
      </c>
      <c r="I27" s="564">
        <f t="shared" si="5"/>
        <v>0</v>
      </c>
      <c r="J27" s="564">
        <f t="shared" si="5"/>
        <v>0</v>
      </c>
      <c r="K27" s="564">
        <f t="shared" si="5"/>
        <v>0</v>
      </c>
      <c r="L27" s="564">
        <f t="shared" si="5"/>
        <v>0</v>
      </c>
      <c r="M27" s="564">
        <f t="shared" si="5"/>
        <v>0</v>
      </c>
      <c r="N27" s="565">
        <f t="shared" si="5"/>
        <v>0</v>
      </c>
      <c r="P27" s="28"/>
      <c r="Q27" s="28"/>
      <c r="R27" s="28"/>
      <c r="S27" s="251"/>
    </row>
    <row r="28" spans="1:19" ht="10.5">
      <c r="A28" s="562" t="s">
        <v>308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8"/>
      <c r="P28" s="28"/>
      <c r="Q28" s="28"/>
      <c r="R28" s="28"/>
      <c r="S28" s="251"/>
    </row>
    <row r="29" spans="1:19" ht="10.5">
      <c r="A29" s="562" t="s">
        <v>307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  <c r="P29" s="28"/>
      <c r="Q29" s="28"/>
      <c r="R29" s="28"/>
      <c r="S29" s="251"/>
    </row>
    <row r="30" spans="1:20" ht="10.5">
      <c r="A30" s="562" t="s">
        <v>204</v>
      </c>
      <c r="B30" s="563"/>
      <c r="C30" s="564">
        <f>B30+(БДР!C21-ФинД!D9-ФинД!D17)/1000</f>
        <v>0</v>
      </c>
      <c r="D30" s="564">
        <f>C30+(БДР!D21-ФинД!E9-ФинД!E17)/1000</f>
        <v>0</v>
      </c>
      <c r="E30" s="564">
        <f>D30+(БДР!E21-ФинД!F9-ФинД!F17)/1000</f>
        <v>0</v>
      </c>
      <c r="F30" s="564">
        <f>E30+(БДР!F21-ФинД!G9-ФинД!G17)/1000</f>
        <v>0</v>
      </c>
      <c r="G30" s="564">
        <f>F30+(БДР!G21-ФинД!H9-ФинД!H17)/1000</f>
        <v>0</v>
      </c>
      <c r="H30" s="564">
        <f>G30+(БДР!H21-ФинД!I9-ФинД!I17)/1000</f>
        <v>0</v>
      </c>
      <c r="I30" s="564">
        <f>H30+(БДР!I21-ФинД!J9-ФинД!J17)/1000</f>
        <v>0</v>
      </c>
      <c r="J30" s="564">
        <f>I30+(БДР!J21-ФинД!K9-ФинД!K17)/1000</f>
        <v>0</v>
      </c>
      <c r="K30" s="564">
        <f>J30+(БДР!K21-ФинД!L9-ФинД!L17)/1000</f>
        <v>0</v>
      </c>
      <c r="L30" s="564">
        <f>K30+(БДР!L21-ФинД!M9-ФинД!M17)/1000</f>
        <v>0</v>
      </c>
      <c r="M30" s="564">
        <f>L30+(БДР!M21-ФинД!N9-ФинД!N17)/1000</f>
        <v>0</v>
      </c>
      <c r="N30" s="565">
        <f>M30+(БДР!N21-ФинД!O9-ФинД!O17)/1000</f>
        <v>0</v>
      </c>
      <c r="P30" s="28"/>
      <c r="Q30" s="28"/>
      <c r="R30" s="28"/>
      <c r="S30" s="251"/>
      <c r="T30" s="28"/>
    </row>
    <row r="31" spans="1:19" ht="10.5">
      <c r="A31" s="572"/>
      <c r="B31" s="580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1"/>
      <c r="R31" s="28"/>
      <c r="S31" s="251"/>
    </row>
    <row r="32" spans="1:20" ht="21">
      <c r="A32" s="572" t="s">
        <v>208</v>
      </c>
      <c r="B32" s="573">
        <f>SUM(B33:B35)</f>
        <v>0</v>
      </c>
      <c r="C32" s="573">
        <f aca="true" t="shared" si="6" ref="C32:N32">SUM(C33:C35)</f>
        <v>0</v>
      </c>
      <c r="D32" s="573">
        <f t="shared" si="6"/>
        <v>0</v>
      </c>
      <c r="E32" s="573">
        <f t="shared" si="6"/>
        <v>0</v>
      </c>
      <c r="F32" s="573">
        <f t="shared" si="6"/>
        <v>0</v>
      </c>
      <c r="G32" s="573">
        <f t="shared" si="6"/>
        <v>0</v>
      </c>
      <c r="H32" s="573">
        <f t="shared" si="6"/>
        <v>0</v>
      </c>
      <c r="I32" s="573">
        <f t="shared" si="6"/>
        <v>0</v>
      </c>
      <c r="J32" s="573">
        <f t="shared" si="6"/>
        <v>0</v>
      </c>
      <c r="K32" s="573">
        <f t="shared" si="6"/>
        <v>0</v>
      </c>
      <c r="L32" s="573">
        <f t="shared" si="6"/>
        <v>0</v>
      </c>
      <c r="M32" s="573">
        <f t="shared" si="6"/>
        <v>0</v>
      </c>
      <c r="N32" s="574">
        <f t="shared" si="6"/>
        <v>0</v>
      </c>
      <c r="P32" s="28"/>
      <c r="Q32" s="28"/>
      <c r="R32" s="28"/>
      <c r="S32" s="251"/>
      <c r="T32" s="28"/>
    </row>
    <row r="33" spans="1:19" ht="10.5">
      <c r="A33" s="562" t="s">
        <v>206</v>
      </c>
      <c r="B33" s="564">
        <f>ФинД!C11/1000</f>
        <v>0</v>
      </c>
      <c r="C33" s="564">
        <f>ФинД!D11/1000</f>
        <v>0</v>
      </c>
      <c r="D33" s="564">
        <f>ФинД!E11/1000</f>
        <v>0</v>
      </c>
      <c r="E33" s="564">
        <f>ФинД!F11/1000</f>
        <v>0</v>
      </c>
      <c r="F33" s="564">
        <f>ФинД!G11/1000</f>
        <v>0</v>
      </c>
      <c r="G33" s="564">
        <f>ФинД!H11/1000</f>
        <v>0</v>
      </c>
      <c r="H33" s="564">
        <f>ФинД!I11/1000</f>
        <v>0</v>
      </c>
      <c r="I33" s="564">
        <f>ФинД!J11/1000</f>
        <v>0</v>
      </c>
      <c r="J33" s="564">
        <f>ФинД!K11/1000</f>
        <v>0</v>
      </c>
      <c r="K33" s="564">
        <f>ФинД!L11/1000</f>
        <v>0</v>
      </c>
      <c r="L33" s="564">
        <f>ФинД!M11/1000</f>
        <v>0</v>
      </c>
      <c r="M33" s="564">
        <f>ФинД!N11/1000</f>
        <v>0</v>
      </c>
      <c r="N33" s="565">
        <f>ФинД!O11/1000</f>
        <v>0</v>
      </c>
      <c r="P33" s="28"/>
      <c r="Q33" s="28"/>
      <c r="R33" s="28"/>
      <c r="S33" s="251"/>
    </row>
    <row r="34" spans="1:19" ht="10.5">
      <c r="A34" s="562" t="s">
        <v>219</v>
      </c>
      <c r="B34" s="564">
        <f>ФинД!C19/1000</f>
        <v>0</v>
      </c>
      <c r="C34" s="564">
        <f>ФинД!D19/1000</f>
        <v>0</v>
      </c>
      <c r="D34" s="564">
        <f>ФинД!E19/1000</f>
        <v>0</v>
      </c>
      <c r="E34" s="564">
        <f>ФинД!F19/1000</f>
        <v>0</v>
      </c>
      <c r="F34" s="564">
        <f>ФинД!G19/1000</f>
        <v>0</v>
      </c>
      <c r="G34" s="564">
        <f>ФинД!H19/1000</f>
        <v>0</v>
      </c>
      <c r="H34" s="564">
        <f>ФинД!I19/1000</f>
        <v>0</v>
      </c>
      <c r="I34" s="564">
        <f>ФинД!J19/1000</f>
        <v>0</v>
      </c>
      <c r="J34" s="564">
        <f>ФинД!K19/1000</f>
        <v>0</v>
      </c>
      <c r="K34" s="564">
        <f>ФинД!L19/1000</f>
        <v>0</v>
      </c>
      <c r="L34" s="564">
        <f>ФинД!M19/1000</f>
        <v>0</v>
      </c>
      <c r="M34" s="564">
        <f>ФинД!N19/1000</f>
        <v>0</v>
      </c>
      <c r="N34" s="565">
        <f>ФинД!O19/1000</f>
        <v>0</v>
      </c>
      <c r="P34" s="28"/>
      <c r="Q34" s="28"/>
      <c r="R34" s="28"/>
      <c r="S34" s="251"/>
    </row>
    <row r="35" spans="1:19" ht="10.5">
      <c r="A35" s="408"/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3"/>
      <c r="R35" s="28"/>
      <c r="S35" s="251"/>
    </row>
    <row r="36" spans="1:19" ht="21">
      <c r="A36" s="572" t="s">
        <v>207</v>
      </c>
      <c r="B36" s="584">
        <f>SUM(B37:B41)</f>
        <v>0</v>
      </c>
      <c r="C36" s="584">
        <f aca="true" t="shared" si="7" ref="C36:N36">SUM(C37:C41)</f>
        <v>0</v>
      </c>
      <c r="D36" s="584">
        <f t="shared" si="7"/>
        <v>0</v>
      </c>
      <c r="E36" s="584">
        <f t="shared" si="7"/>
        <v>0</v>
      </c>
      <c r="F36" s="584">
        <f t="shared" si="7"/>
        <v>0</v>
      </c>
      <c r="G36" s="584">
        <f t="shared" si="7"/>
        <v>0</v>
      </c>
      <c r="H36" s="584">
        <f t="shared" si="7"/>
        <v>0</v>
      </c>
      <c r="I36" s="584">
        <f t="shared" si="7"/>
        <v>0</v>
      </c>
      <c r="J36" s="584">
        <f t="shared" si="7"/>
        <v>0</v>
      </c>
      <c r="K36" s="584">
        <f t="shared" si="7"/>
        <v>0</v>
      </c>
      <c r="L36" s="584">
        <f t="shared" si="7"/>
        <v>0</v>
      </c>
      <c r="M36" s="584">
        <f t="shared" si="7"/>
        <v>0</v>
      </c>
      <c r="N36" s="585">
        <f t="shared" si="7"/>
        <v>0</v>
      </c>
      <c r="P36" s="28"/>
      <c r="Q36" s="28"/>
      <c r="R36" s="28"/>
      <c r="S36" s="251"/>
    </row>
    <row r="37" spans="1:19" ht="21">
      <c r="A37" s="562" t="s">
        <v>209</v>
      </c>
      <c r="B37" s="563"/>
      <c r="C37" s="564">
        <f>B37+'Закупки сырья'!C78/1000-'Закупки сырья'!C80/1000</f>
        <v>0</v>
      </c>
      <c r="D37" s="564">
        <f>C37+'Закупки сырья'!D78/1000-'Закупки сырья'!D80/1000</f>
        <v>0</v>
      </c>
      <c r="E37" s="564">
        <f>D37+'Закупки сырья'!E78/1000-'Закупки сырья'!E80/1000</f>
        <v>0</v>
      </c>
      <c r="F37" s="564">
        <f>E37+'Закупки сырья'!F78/1000-'Закупки сырья'!F80/1000</f>
        <v>0</v>
      </c>
      <c r="G37" s="564">
        <f>F37+'Закупки сырья'!G78/1000-'Закупки сырья'!G80/1000</f>
        <v>0</v>
      </c>
      <c r="H37" s="564">
        <f>G37+'Закупки сырья'!H78/1000-'Закупки сырья'!H80/1000</f>
        <v>0</v>
      </c>
      <c r="I37" s="564">
        <f>H37+'Закупки сырья'!I78/1000-'Закупки сырья'!I80/1000</f>
        <v>0</v>
      </c>
      <c r="J37" s="564">
        <f>I37+'Закупки сырья'!J78/1000-'Закупки сырья'!J80/1000</f>
        <v>0</v>
      </c>
      <c r="K37" s="564">
        <f>J37+'Закупки сырья'!K78/1000-'Закупки сырья'!K80/1000</f>
        <v>0</v>
      </c>
      <c r="L37" s="564">
        <f>K37+'Закупки сырья'!L78/1000-'Закупки сырья'!L80/1000</f>
        <v>0</v>
      </c>
      <c r="M37" s="564">
        <f>L37+'Закупки сырья'!M78/1000-'Закупки сырья'!M80/1000</f>
        <v>0</v>
      </c>
      <c r="N37" s="565">
        <f>M37+'Закупки сырья'!N78/1000-'Закупки сырья'!N80/1000</f>
        <v>0</v>
      </c>
      <c r="P37" s="28"/>
      <c r="Q37" s="28"/>
      <c r="R37" s="28"/>
      <c r="S37" s="251"/>
    </row>
    <row r="38" spans="1:19" ht="31.5">
      <c r="A38" s="562" t="s">
        <v>224</v>
      </c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86"/>
      <c r="P38" s="28"/>
      <c r="Q38" s="28"/>
      <c r="R38" s="28"/>
      <c r="S38" s="251"/>
    </row>
    <row r="39" spans="1:19" ht="21">
      <c r="A39" s="562" t="s">
        <v>310</v>
      </c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8"/>
      <c r="P39" s="28"/>
      <c r="Q39" s="28"/>
      <c r="R39" s="28"/>
      <c r="S39" s="251"/>
    </row>
    <row r="40" spans="1:19" ht="21">
      <c r="A40" s="562" t="s">
        <v>311</v>
      </c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8"/>
      <c r="P40" s="28"/>
      <c r="Q40" s="28"/>
      <c r="R40" s="28"/>
      <c r="S40" s="251"/>
    </row>
    <row r="41" spans="1:19" ht="10.5">
      <c r="A41" s="562" t="s">
        <v>312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8"/>
      <c r="P41" s="28"/>
      <c r="Q41" s="28"/>
      <c r="R41" s="28"/>
      <c r="S41" s="251"/>
    </row>
    <row r="42" spans="1:19" ht="10.5">
      <c r="A42" s="408"/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3"/>
      <c r="R42" s="28"/>
      <c r="S42" s="251"/>
    </row>
    <row r="43" spans="1:19" ht="21">
      <c r="A43" s="572" t="s">
        <v>313</v>
      </c>
      <c r="B43" s="584">
        <f>SUM(B44)</f>
        <v>0</v>
      </c>
      <c r="C43" s="584">
        <f aca="true" t="shared" si="8" ref="C43:N43">SUM(C44)</f>
        <v>0</v>
      </c>
      <c r="D43" s="584">
        <f t="shared" si="8"/>
        <v>0</v>
      </c>
      <c r="E43" s="584">
        <f t="shared" si="8"/>
        <v>0</v>
      </c>
      <c r="F43" s="584">
        <f t="shared" si="8"/>
        <v>0</v>
      </c>
      <c r="G43" s="584">
        <f t="shared" si="8"/>
        <v>0</v>
      </c>
      <c r="H43" s="584">
        <f t="shared" si="8"/>
        <v>0</v>
      </c>
      <c r="I43" s="584">
        <f t="shared" si="8"/>
        <v>0</v>
      </c>
      <c r="J43" s="584">
        <f t="shared" si="8"/>
        <v>0</v>
      </c>
      <c r="K43" s="584">
        <f t="shared" si="8"/>
        <v>0</v>
      </c>
      <c r="L43" s="584">
        <f t="shared" si="8"/>
        <v>0</v>
      </c>
      <c r="M43" s="584">
        <f t="shared" si="8"/>
        <v>0</v>
      </c>
      <c r="N43" s="585">
        <f t="shared" si="8"/>
        <v>0</v>
      </c>
      <c r="P43" s="28"/>
      <c r="Q43" s="28"/>
      <c r="R43" s="28"/>
      <c r="S43" s="251"/>
    </row>
    <row r="44" spans="1:19" ht="21">
      <c r="A44" s="562" t="s">
        <v>309</v>
      </c>
      <c r="B44" s="567">
        <v>0</v>
      </c>
      <c r="C44" s="567">
        <v>0</v>
      </c>
      <c r="D44" s="567">
        <v>0</v>
      </c>
      <c r="E44" s="567">
        <v>0</v>
      </c>
      <c r="F44" s="567">
        <v>0</v>
      </c>
      <c r="G44" s="567">
        <v>0</v>
      </c>
      <c r="H44" s="567">
        <v>0</v>
      </c>
      <c r="I44" s="567">
        <v>0</v>
      </c>
      <c r="J44" s="567">
        <v>0</v>
      </c>
      <c r="K44" s="567">
        <v>0</v>
      </c>
      <c r="L44" s="567">
        <v>0</v>
      </c>
      <c r="M44" s="567">
        <v>0</v>
      </c>
      <c r="N44" s="568">
        <v>0</v>
      </c>
      <c r="P44" s="28"/>
      <c r="Q44" s="28"/>
      <c r="R44" s="28"/>
      <c r="S44" s="251"/>
    </row>
    <row r="45" spans="1:19" ht="10.5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9"/>
      <c r="R45" s="28"/>
      <c r="S45" s="251"/>
    </row>
    <row r="46" spans="1:19" ht="10.5">
      <c r="A46" s="249" t="s">
        <v>212</v>
      </c>
      <c r="B46" s="250">
        <f>B26+B32+B36</f>
        <v>0</v>
      </c>
      <c r="C46" s="250">
        <f aca="true" t="shared" si="9" ref="C46:N46">C26+C32+C36</f>
        <v>0</v>
      </c>
      <c r="D46" s="250">
        <f t="shared" si="9"/>
        <v>0</v>
      </c>
      <c r="E46" s="250">
        <f t="shared" si="9"/>
        <v>0</v>
      </c>
      <c r="F46" s="250">
        <f t="shared" si="9"/>
        <v>0</v>
      </c>
      <c r="G46" s="250">
        <f t="shared" si="9"/>
        <v>0</v>
      </c>
      <c r="H46" s="250">
        <f t="shared" si="9"/>
        <v>0</v>
      </c>
      <c r="I46" s="250">
        <f t="shared" si="9"/>
        <v>0</v>
      </c>
      <c r="J46" s="250">
        <f t="shared" si="9"/>
        <v>0</v>
      </c>
      <c r="K46" s="250">
        <f t="shared" si="9"/>
        <v>0</v>
      </c>
      <c r="L46" s="250">
        <f t="shared" si="9"/>
        <v>0</v>
      </c>
      <c r="M46" s="250">
        <f t="shared" si="9"/>
        <v>0</v>
      </c>
      <c r="N46" s="556">
        <f t="shared" si="9"/>
        <v>0</v>
      </c>
      <c r="P46" s="28"/>
      <c r="Q46" s="28"/>
      <c r="R46" s="28"/>
      <c r="S46" s="251"/>
    </row>
    <row r="47" spans="1:14" ht="10.5">
      <c r="A47" s="205" t="s">
        <v>314</v>
      </c>
      <c r="B47" s="252">
        <f>B24-B46</f>
        <v>0</v>
      </c>
      <c r="C47" s="252">
        <f aca="true" t="shared" si="10" ref="C47:N47">C24-C46</f>
        <v>0</v>
      </c>
      <c r="D47" s="252">
        <f t="shared" si="10"/>
        <v>0</v>
      </c>
      <c r="E47" s="252">
        <f t="shared" si="10"/>
        <v>0</v>
      </c>
      <c r="F47" s="252">
        <f t="shared" si="10"/>
        <v>0</v>
      </c>
      <c r="G47" s="252">
        <f t="shared" si="10"/>
        <v>0</v>
      </c>
      <c r="H47" s="252">
        <f t="shared" si="10"/>
        <v>0</v>
      </c>
      <c r="I47" s="252">
        <f t="shared" si="10"/>
        <v>0</v>
      </c>
      <c r="J47" s="252">
        <f t="shared" si="10"/>
        <v>0</v>
      </c>
      <c r="K47" s="252">
        <f t="shared" si="10"/>
        <v>0</v>
      </c>
      <c r="L47" s="252">
        <f t="shared" si="10"/>
        <v>0</v>
      </c>
      <c r="M47" s="252">
        <f t="shared" si="10"/>
        <v>0</v>
      </c>
      <c r="N47" s="252">
        <f t="shared" si="10"/>
        <v>0</v>
      </c>
    </row>
    <row r="48" spans="1:2" ht="10.5">
      <c r="A48" s="205"/>
      <c r="B48" s="225"/>
    </row>
  </sheetData>
  <printOptions/>
  <pageMargins left="0.75" right="0.75" top="0.71" bottom="1.29" header="0.5" footer="0.5"/>
  <pageSetup fitToHeight="1" fitToWidth="1" horizontalDpi="300" verticalDpi="300" orientation="landscape" paperSize="9" scale="67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1"/>
  <sheetViews>
    <sheetView view="pageBreakPreview" zoomScale="85" zoomScaleNormal="80" zoomScaleSheetLayoutView="85" workbookViewId="0" topLeftCell="A1">
      <selection activeCell="A1" sqref="A1"/>
    </sheetView>
  </sheetViews>
  <sheetFormatPr defaultColWidth="9.00390625" defaultRowHeight="12.75"/>
  <cols>
    <col min="1" max="1" width="5.375" style="27" customWidth="1"/>
    <col min="2" max="2" width="24.375" style="27" customWidth="1"/>
    <col min="3" max="4" width="12.375" style="27" customWidth="1"/>
    <col min="5" max="14" width="12.375" style="27" bestFit="1" customWidth="1"/>
    <col min="15" max="15" width="12.375" style="27" customWidth="1"/>
    <col min="16" max="16384" width="9.125" style="27" customWidth="1"/>
  </cols>
  <sheetData>
    <row r="1" spans="1:15" ht="18">
      <c r="A1" s="608"/>
      <c r="C1" s="96" t="s">
        <v>340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0.5">
      <c r="A2" s="3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thickBot="1">
      <c r="A3" s="3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0.5">
      <c r="A4" s="80"/>
      <c r="B4" s="55" t="s">
        <v>132</v>
      </c>
      <c r="C4" s="56">
        <v>39448</v>
      </c>
      <c r="D4" s="56">
        <v>39479</v>
      </c>
      <c r="E4" s="56">
        <v>39508</v>
      </c>
      <c r="F4" s="56">
        <v>39539</v>
      </c>
      <c r="G4" s="56">
        <v>39569</v>
      </c>
      <c r="H4" s="56">
        <v>39600</v>
      </c>
      <c r="I4" s="56">
        <v>39630</v>
      </c>
      <c r="J4" s="56">
        <v>39661</v>
      </c>
      <c r="K4" s="56">
        <v>39692</v>
      </c>
      <c r="L4" s="56">
        <v>39722</v>
      </c>
      <c r="M4" s="56">
        <v>39753</v>
      </c>
      <c r="N4" s="56">
        <v>39783</v>
      </c>
      <c r="O4" s="56" t="s">
        <v>67</v>
      </c>
    </row>
    <row r="5" spans="1:15" ht="39.75" customHeight="1">
      <c r="A5" s="557"/>
      <c r="B5" s="558" t="s">
        <v>226</v>
      </c>
      <c r="C5" s="559">
        <f>БДР!C21/1000</f>
        <v>0</v>
      </c>
      <c r="D5" s="559">
        <f>БДР!D21/1000</f>
        <v>0</v>
      </c>
      <c r="E5" s="559">
        <f>БДР!E21/1000</f>
        <v>0</v>
      </c>
      <c r="F5" s="559">
        <f>БДР!F21/1000</f>
        <v>0</v>
      </c>
      <c r="G5" s="559">
        <f>БДР!G21/1000</f>
        <v>0</v>
      </c>
      <c r="H5" s="559">
        <f>БДР!H21/1000</f>
        <v>0</v>
      </c>
      <c r="I5" s="559">
        <f>БДР!I21/1000</f>
        <v>0</v>
      </c>
      <c r="J5" s="559">
        <f>БДР!J21/1000</f>
        <v>0</v>
      </c>
      <c r="K5" s="559">
        <f>БДР!K21/1000</f>
        <v>0</v>
      </c>
      <c r="L5" s="559">
        <f>БДР!L21/1000</f>
        <v>0</v>
      </c>
      <c r="M5" s="559">
        <f>БДР!M21/1000</f>
        <v>0</v>
      </c>
      <c r="N5" s="559">
        <f>БДР!N21/1000</f>
        <v>0</v>
      </c>
      <c r="O5" s="560">
        <f>SUM(C5:N5)</f>
        <v>0</v>
      </c>
    </row>
    <row r="6" spans="1:15" ht="21">
      <c r="A6" s="561"/>
      <c r="B6" s="572" t="s">
        <v>227</v>
      </c>
      <c r="C6" s="564">
        <f>SUM('Общепроизвод расходы'!C6:C7,'Общепроизвод расходы'!C131:C132,'Общепроизвод расходы'!C172:C173,'Общепроизвод расходы'!C212:C213,'Общепроизвод расходы'!C253:C254)/1000</f>
        <v>0</v>
      </c>
      <c r="D6" s="564">
        <f>SUM('Общепроизвод расходы'!D6:D7,'Общепроизвод расходы'!D131:D132,'Общепроизвод расходы'!D172:D173,'Общепроизвод расходы'!D212:D213,'Общепроизвод расходы'!D253:D254)/1000</f>
        <v>0</v>
      </c>
      <c r="E6" s="564">
        <f>SUM('Общепроизвод расходы'!E6:E7,'Общепроизвод расходы'!E131:E132,'Общепроизвод расходы'!E172:E173,'Общепроизвод расходы'!E212:E213,'Общепроизвод расходы'!E253:E254)/1000</f>
        <v>0</v>
      </c>
      <c r="F6" s="564">
        <f>SUM('Общепроизвод расходы'!F6:F7,'Общепроизвод расходы'!F131:F132,'Общепроизвод расходы'!F172:F173,'Общепроизвод расходы'!F212:F213,'Общепроизвод расходы'!F253:F254)/1000</f>
        <v>0</v>
      </c>
      <c r="G6" s="564">
        <f>SUM('Общепроизвод расходы'!G6:G7,'Общепроизвод расходы'!G131:G132,'Общепроизвод расходы'!G172:G173,'Общепроизвод расходы'!G212:G213,'Общепроизвод расходы'!G253:G254)/1000</f>
        <v>0</v>
      </c>
      <c r="H6" s="564">
        <f>SUM('Общепроизвод расходы'!H6:H7,'Общепроизвод расходы'!H131:H132,'Общепроизвод расходы'!H172:H173,'Общепроизвод расходы'!H212:H213,'Общепроизвод расходы'!H253:H254)/1000</f>
        <v>0</v>
      </c>
      <c r="I6" s="564">
        <f>SUM('Общепроизвод расходы'!I6:I7,'Общепроизвод расходы'!I131:I132,'Общепроизвод расходы'!I172:I173,'Общепроизвод расходы'!I212:I213,'Общепроизвод расходы'!I253:I254)/1000</f>
        <v>0</v>
      </c>
      <c r="J6" s="564">
        <f>SUM('Общепроизвод расходы'!J6:J7,'Общепроизвод расходы'!J131:J132,'Общепроизвод расходы'!J172:J173,'Общепроизвод расходы'!J212:J213,'Общепроизвод расходы'!J253:J254)/1000</f>
        <v>0</v>
      </c>
      <c r="K6" s="564">
        <f>SUM('Общепроизвод расходы'!K6:K7,'Общепроизвод расходы'!K131:K132,'Общепроизвод расходы'!K172:K173,'Общепроизвод расходы'!K212:K213,'Общепроизвод расходы'!K253:K254)/1000</f>
        <v>0</v>
      </c>
      <c r="L6" s="564">
        <f>SUM('Общепроизвод расходы'!L6:L7,'Общепроизвод расходы'!L131:L132,'Общепроизвод расходы'!L172:L173,'Общепроизвод расходы'!L212:L213,'Общепроизвод расходы'!L253:L254)/1000</f>
        <v>0</v>
      </c>
      <c r="M6" s="564">
        <f>SUM('Общепроизвод расходы'!M6:M7,'Общепроизвод расходы'!M131:M132,'Общепроизвод расходы'!M172:M173,'Общепроизвод расходы'!M212:M213,'Общепроизвод расходы'!M253:M254)/1000</f>
        <v>0</v>
      </c>
      <c r="N6" s="564">
        <f>SUM('Общепроизвод расходы'!N6:N7,'Общепроизвод расходы'!N131:N132,'Общепроизвод расходы'!N172:N173,'Общепроизвод расходы'!N212:N213,'Общепроизвод расходы'!N253:N254)/1000</f>
        <v>0</v>
      </c>
      <c r="O6" s="565">
        <f>SUM('Общепроизвод расходы'!O6:O7,'Общепроизвод расходы'!O131:O132,'Общепроизвод расходы'!O172:O173,'Общепроизвод расходы'!O212:O213,'Общепроизвод расходы'!O253:O254)/1000</f>
        <v>0</v>
      </c>
    </row>
    <row r="7" spans="1:15" ht="10.5" hidden="1">
      <c r="A7" s="561"/>
      <c r="B7" s="566" t="s">
        <v>76</v>
      </c>
      <c r="C7" s="253">
        <f>IF(Оборачиваемость!C$13&lt;30,Инвестиции!C46*(30-Оборачиваемость!C$13)/30,0)/1000</f>
        <v>0</v>
      </c>
      <c r="D7" s="253">
        <f>IF(Оборачиваемость!D$13&lt;30,Инвестиции!D46*(30-Оборачиваемость!D$13)/30,0)/1000</f>
        <v>0</v>
      </c>
      <c r="E7" s="253">
        <f>IF(Оборачиваемость!E$13&lt;30,Инвестиции!E46*(30-Оборачиваемость!E$13)/30,0)/1000</f>
        <v>0</v>
      </c>
      <c r="F7" s="253">
        <f>IF(Оборачиваемость!F$13&lt;30,Инвестиции!F46*(30-Оборачиваемость!F$13)/30,0)/1000</f>
        <v>0</v>
      </c>
      <c r="G7" s="253">
        <f>IF(Оборачиваемость!G$13&lt;30,Инвестиции!G46*(30-Оборачиваемость!G$13)/30,0)/1000</f>
        <v>0</v>
      </c>
      <c r="H7" s="253">
        <f>IF(Оборачиваемость!H$13&lt;30,Инвестиции!H46*(30-Оборачиваемость!H$13)/30,0)/1000</f>
        <v>0</v>
      </c>
      <c r="I7" s="253">
        <f>IF(Оборачиваемость!I$13&lt;30,Инвестиции!I46*(30-Оборачиваемость!I$13)/30,0)/1000</f>
        <v>0</v>
      </c>
      <c r="J7" s="253">
        <f>IF(Оборачиваемость!J$13&lt;30,Инвестиции!J46*(30-Оборачиваемость!J$13)/30,0)/1000</f>
        <v>0</v>
      </c>
      <c r="K7" s="253">
        <f>IF(Оборачиваемость!K$13&lt;30,Инвестиции!K46*(30-Оборачиваемость!K$13)/30,0)/1000</f>
        <v>0</v>
      </c>
      <c r="L7" s="253">
        <f>IF(Оборачиваемость!L$13&lt;30,Инвестиции!L46*(30-Оборачиваемость!L$13)/30,0)/1000</f>
        <v>0</v>
      </c>
      <c r="M7" s="253">
        <f>IF(Оборачиваемость!M$13&lt;30,Инвестиции!M46*(30-Оборачиваемость!M$13)/30,0)/1000</f>
        <v>0</v>
      </c>
      <c r="N7" s="253">
        <f>IF(Оборачиваемость!N$13&lt;30,Инвестиции!N46*(30-Оборачиваемость!N$13)/30,0)/1000</f>
        <v>0</v>
      </c>
      <c r="O7" s="590">
        <f aca="true" t="shared" si="0" ref="O7:O21">SUM(C7:N7)</f>
        <v>0</v>
      </c>
    </row>
    <row r="8" spans="1:15" ht="10.5" hidden="1">
      <c r="A8" s="561"/>
      <c r="B8" s="566" t="s">
        <v>77</v>
      </c>
      <c r="C8" s="253">
        <f>IF(Оборачиваемость!C$13&gt;=30,Инвестиции!C46*(60-Оборачиваемость!C$13)/30,Инвестиции!C46*Оборачиваемость!C$13/30)/1000</f>
        <v>0</v>
      </c>
      <c r="D8" s="253">
        <f>IF(Оборачиваемость!D$13&gt;=30,Инвестиции!D46*(60-Оборачиваемость!D$13)/30,Инвестиции!D46*Оборачиваемость!D$13/30)/1000</f>
        <v>0</v>
      </c>
      <c r="E8" s="253">
        <f>IF(Оборачиваемость!E$13&gt;=30,Инвестиции!E46*(60-Оборачиваемость!E$13)/30,Инвестиции!E46*Оборачиваемость!E$13/30)/1000</f>
        <v>0</v>
      </c>
      <c r="F8" s="253">
        <f>IF(Оборачиваемость!F$13&gt;=30,Инвестиции!F46*(60-Оборачиваемость!F$13)/30,Инвестиции!F46*Оборачиваемость!F$13/30)/1000</f>
        <v>0</v>
      </c>
      <c r="G8" s="253">
        <f>IF(Оборачиваемость!G$13&gt;=30,Инвестиции!G46*(60-Оборачиваемость!G$13)/30,Инвестиции!G46*Оборачиваемость!G$13/30)/1000</f>
        <v>0</v>
      </c>
      <c r="H8" s="253">
        <f>IF(Оборачиваемость!H$13&gt;=30,Инвестиции!H46*(60-Оборачиваемость!H$13)/30,Инвестиции!H46*Оборачиваемость!H$13/30)/1000</f>
        <v>0</v>
      </c>
      <c r="I8" s="253">
        <f>IF(Оборачиваемость!I$13&gt;=30,Инвестиции!I46*(60-Оборачиваемость!I$13)/30,Инвестиции!I46*Оборачиваемость!I$13/30)/1000</f>
        <v>0</v>
      </c>
      <c r="J8" s="253">
        <f>IF(Оборачиваемость!J$13&gt;=30,Инвестиции!J46*(60-Оборачиваемость!J$13)/30,Инвестиции!J46*Оборачиваемость!J$13/30)/1000</f>
        <v>0</v>
      </c>
      <c r="K8" s="253">
        <f>IF(Оборачиваемость!K$13&gt;=30,Инвестиции!K46*(60-Оборачиваемость!K$13)/30,Инвестиции!K46*Оборачиваемость!K$13/30)/1000</f>
        <v>0</v>
      </c>
      <c r="L8" s="253">
        <f>IF(Оборачиваемость!L$13&gt;=30,Инвестиции!L46*(60-Оборачиваемость!L$13)/30,Инвестиции!L46*Оборачиваемость!L$13/30)/1000</f>
        <v>0</v>
      </c>
      <c r="M8" s="253">
        <f>IF(Оборачиваемость!M$13&gt;=30,Инвестиции!M46*(60-Оборачиваемость!M$13)/30,Инвестиции!M46*Оборачиваемость!M$13/30)/1000</f>
        <v>0</v>
      </c>
      <c r="N8" s="253">
        <f>IF(Оборачиваемость!N$13&gt;=30,Инвестиции!N46*(60-Оборачиваемость!N$13)/30,Инвестиции!N46*Оборачиваемость!N$13/30)/1000</f>
        <v>0</v>
      </c>
      <c r="O8" s="590">
        <f t="shared" si="0"/>
        <v>0</v>
      </c>
    </row>
    <row r="9" spans="1:15" ht="10.5">
      <c r="A9" s="561"/>
      <c r="B9" s="562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2"/>
    </row>
    <row r="10" spans="1:15" ht="21">
      <c r="A10" s="561"/>
      <c r="B10" s="572" t="s">
        <v>228</v>
      </c>
      <c r="C10" s="573">
        <f>SUM(C11:C15)</f>
        <v>0</v>
      </c>
      <c r="D10" s="573">
        <f aca="true" t="shared" si="1" ref="D10:N10">SUM(D11:D15)</f>
        <v>0</v>
      </c>
      <c r="E10" s="573">
        <f t="shared" si="1"/>
        <v>0</v>
      </c>
      <c r="F10" s="573">
        <f t="shared" si="1"/>
        <v>0</v>
      </c>
      <c r="G10" s="573">
        <f t="shared" si="1"/>
        <v>0</v>
      </c>
      <c r="H10" s="573">
        <f t="shared" si="1"/>
        <v>0</v>
      </c>
      <c r="I10" s="573">
        <f t="shared" si="1"/>
        <v>0</v>
      </c>
      <c r="J10" s="573">
        <f t="shared" si="1"/>
        <v>0</v>
      </c>
      <c r="K10" s="573">
        <f t="shared" si="1"/>
        <v>0</v>
      </c>
      <c r="L10" s="573">
        <f t="shared" si="1"/>
        <v>0</v>
      </c>
      <c r="M10" s="573">
        <f t="shared" si="1"/>
        <v>0</v>
      </c>
      <c r="N10" s="573">
        <f t="shared" si="1"/>
        <v>0</v>
      </c>
      <c r="O10" s="574">
        <f t="shared" si="0"/>
        <v>0</v>
      </c>
    </row>
    <row r="11" spans="1:15" ht="21">
      <c r="A11" s="561"/>
      <c r="B11" s="562" t="s">
        <v>229</v>
      </c>
      <c r="C11" s="564">
        <f>Баланс!C18-Баланс!B18</f>
        <v>0</v>
      </c>
      <c r="D11" s="564">
        <f>Баланс!D18-Баланс!C18</f>
        <v>0</v>
      </c>
      <c r="E11" s="564">
        <f>Баланс!E18-Баланс!D18</f>
        <v>0</v>
      </c>
      <c r="F11" s="564">
        <f>Баланс!F18-Баланс!E18</f>
        <v>0</v>
      </c>
      <c r="G11" s="564">
        <f>Баланс!G18-Баланс!F18</f>
        <v>0</v>
      </c>
      <c r="H11" s="564">
        <f>Баланс!H18-Баланс!G18</f>
        <v>0</v>
      </c>
      <c r="I11" s="564">
        <f>Баланс!I18-Баланс!H18</f>
        <v>0</v>
      </c>
      <c r="J11" s="564">
        <f>Баланс!J18-Баланс!I18</f>
        <v>0</v>
      </c>
      <c r="K11" s="564">
        <f>Баланс!K18-Баланс!J18</f>
        <v>0</v>
      </c>
      <c r="L11" s="564">
        <f>Баланс!L18-Баланс!K18</f>
        <v>0</v>
      </c>
      <c r="M11" s="564">
        <f>Баланс!M18-Баланс!L18</f>
        <v>0</v>
      </c>
      <c r="N11" s="564">
        <f>Баланс!N18-Баланс!M18</f>
        <v>0</v>
      </c>
      <c r="O11" s="565">
        <f t="shared" si="0"/>
        <v>0</v>
      </c>
    </row>
    <row r="12" spans="1:15" ht="21">
      <c r="A12" s="561"/>
      <c r="B12" s="562" t="s">
        <v>230</v>
      </c>
      <c r="C12" s="564">
        <f>Баланс!C19-Баланс!B19</f>
        <v>0</v>
      </c>
      <c r="D12" s="564">
        <f>Баланс!D19-Баланс!C19</f>
        <v>0</v>
      </c>
      <c r="E12" s="564">
        <f>Баланс!E19-Баланс!D19</f>
        <v>0</v>
      </c>
      <c r="F12" s="564">
        <f>Баланс!F19-Баланс!E19</f>
        <v>0</v>
      </c>
      <c r="G12" s="564">
        <f>Баланс!G19-Баланс!F19</f>
        <v>0</v>
      </c>
      <c r="H12" s="564">
        <f>Баланс!H19-Баланс!G19</f>
        <v>0</v>
      </c>
      <c r="I12" s="564">
        <f>Баланс!I19-Баланс!H19</f>
        <v>0</v>
      </c>
      <c r="J12" s="564">
        <f>Баланс!J19-Баланс!I19</f>
        <v>0</v>
      </c>
      <c r="K12" s="564">
        <f>Баланс!K19-Баланс!J19</f>
        <v>0</v>
      </c>
      <c r="L12" s="564">
        <f>Баланс!L19-Баланс!K19</f>
        <v>0</v>
      </c>
      <c r="M12" s="564">
        <f>Баланс!M19-Баланс!L19</f>
        <v>0</v>
      </c>
      <c r="N12" s="564">
        <f>Баланс!N19-Баланс!M19</f>
        <v>0</v>
      </c>
      <c r="O12" s="565">
        <f t="shared" si="0"/>
        <v>0</v>
      </c>
    </row>
    <row r="13" spans="1:15" ht="21">
      <c r="A13" s="561"/>
      <c r="B13" s="562" t="s">
        <v>231</v>
      </c>
      <c r="C13" s="564">
        <f>Баланс!C20-Баланс!B20</f>
        <v>0</v>
      </c>
      <c r="D13" s="564">
        <f>Баланс!D20-Баланс!C20</f>
        <v>0</v>
      </c>
      <c r="E13" s="564">
        <f>Баланс!E20-Баланс!D20</f>
        <v>0</v>
      </c>
      <c r="F13" s="564">
        <f>Баланс!F20-Баланс!E20</f>
        <v>0</v>
      </c>
      <c r="G13" s="564">
        <f>Баланс!G20-Баланс!F20</f>
        <v>0</v>
      </c>
      <c r="H13" s="564">
        <f>Баланс!H20-Баланс!G20</f>
        <v>0</v>
      </c>
      <c r="I13" s="564">
        <f>Баланс!I20-Баланс!H20</f>
        <v>0</v>
      </c>
      <c r="J13" s="564">
        <f>Баланс!J20-Баланс!I20</f>
        <v>0</v>
      </c>
      <c r="K13" s="564">
        <f>Баланс!K20-Баланс!J20</f>
        <v>0</v>
      </c>
      <c r="L13" s="564">
        <f>Баланс!L20-Баланс!K20</f>
        <v>0</v>
      </c>
      <c r="M13" s="564">
        <f>Баланс!M20-Баланс!L20</f>
        <v>0</v>
      </c>
      <c r="N13" s="564">
        <f>Баланс!N20-Баланс!M20</f>
        <v>0</v>
      </c>
      <c r="O13" s="565">
        <f t="shared" si="0"/>
        <v>0</v>
      </c>
    </row>
    <row r="14" spans="1:15" ht="31.5">
      <c r="A14" s="561"/>
      <c r="B14" s="562" t="s">
        <v>232</v>
      </c>
      <c r="C14" s="564">
        <f>Баланс!B37-Баланс!C37</f>
        <v>0</v>
      </c>
      <c r="D14" s="564">
        <f>Баланс!C37-Баланс!D37</f>
        <v>0</v>
      </c>
      <c r="E14" s="564">
        <f>Баланс!D37-Баланс!E37</f>
        <v>0</v>
      </c>
      <c r="F14" s="564">
        <f>Баланс!E37-Баланс!F37</f>
        <v>0</v>
      </c>
      <c r="G14" s="564">
        <f>Баланс!F37-Баланс!G37</f>
        <v>0</v>
      </c>
      <c r="H14" s="564">
        <f>Баланс!G37-Баланс!H37</f>
        <v>0</v>
      </c>
      <c r="I14" s="564">
        <f>Баланс!H37-Баланс!I37</f>
        <v>0</v>
      </c>
      <c r="J14" s="564">
        <f>Баланс!I37-Баланс!J37</f>
        <v>0</v>
      </c>
      <c r="K14" s="564">
        <f>Баланс!J37-Баланс!K37</f>
        <v>0</v>
      </c>
      <c r="L14" s="564">
        <f>Баланс!K37-Баланс!L37</f>
        <v>0</v>
      </c>
      <c r="M14" s="564">
        <f>Баланс!L37-Баланс!M37</f>
        <v>0</v>
      </c>
      <c r="N14" s="564">
        <f>Баланс!M37-Баланс!N37</f>
        <v>0</v>
      </c>
      <c r="O14" s="565">
        <f t="shared" si="0"/>
        <v>0</v>
      </c>
    </row>
    <row r="15" spans="1:15" ht="42">
      <c r="A15" s="561"/>
      <c r="B15" s="562" t="s">
        <v>233</v>
      </c>
      <c r="C15" s="564">
        <f>Баланс!B38-Баланс!C38</f>
        <v>0</v>
      </c>
      <c r="D15" s="564">
        <f>Баланс!C38-Баланс!D38</f>
        <v>0</v>
      </c>
      <c r="E15" s="564">
        <f>Баланс!D38-Баланс!E38</f>
        <v>0</v>
      </c>
      <c r="F15" s="564">
        <f>Баланс!E38-Баланс!F38</f>
        <v>0</v>
      </c>
      <c r="G15" s="564">
        <f>Баланс!F38-Баланс!G38</f>
        <v>0</v>
      </c>
      <c r="H15" s="564">
        <f>Баланс!G38-Баланс!H38</f>
        <v>0</v>
      </c>
      <c r="I15" s="564">
        <f>Баланс!H38-Баланс!I38</f>
        <v>0</v>
      </c>
      <c r="J15" s="564">
        <f>Баланс!I38-Баланс!J38</f>
        <v>0</v>
      </c>
      <c r="K15" s="564">
        <f>Баланс!J38-Баланс!K38</f>
        <v>0</v>
      </c>
      <c r="L15" s="564">
        <f>Баланс!K38-Баланс!L38</f>
        <v>0</v>
      </c>
      <c r="M15" s="564">
        <f>Баланс!L38-Баланс!M38</f>
        <v>0</v>
      </c>
      <c r="N15" s="564">
        <f>Баланс!M38-Баланс!N38</f>
        <v>0</v>
      </c>
      <c r="O15" s="565">
        <f t="shared" si="0"/>
        <v>0</v>
      </c>
    </row>
    <row r="16" spans="1:15" ht="10.5">
      <c r="A16" s="561"/>
      <c r="B16" s="562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4"/>
    </row>
    <row r="17" spans="1:15" ht="27" customHeight="1">
      <c r="A17" s="561"/>
      <c r="B17" s="572" t="s">
        <v>234</v>
      </c>
      <c r="C17" s="573">
        <f>SUM(C18:C19)</f>
        <v>0</v>
      </c>
      <c r="D17" s="573">
        <f aca="true" t="shared" si="2" ref="D17:N17">SUM(D18:D19)</f>
        <v>0</v>
      </c>
      <c r="E17" s="573">
        <f t="shared" si="2"/>
        <v>0</v>
      </c>
      <c r="F17" s="573">
        <f t="shared" si="2"/>
        <v>0</v>
      </c>
      <c r="G17" s="573">
        <f t="shared" si="2"/>
        <v>0</v>
      </c>
      <c r="H17" s="573">
        <f t="shared" si="2"/>
        <v>0</v>
      </c>
      <c r="I17" s="573">
        <f t="shared" si="2"/>
        <v>0</v>
      </c>
      <c r="J17" s="573">
        <f t="shared" si="2"/>
        <v>0</v>
      </c>
      <c r="K17" s="573">
        <f t="shared" si="2"/>
        <v>0</v>
      </c>
      <c r="L17" s="573">
        <f t="shared" si="2"/>
        <v>0</v>
      </c>
      <c r="M17" s="573">
        <f t="shared" si="2"/>
        <v>0</v>
      </c>
      <c r="N17" s="573">
        <f t="shared" si="2"/>
        <v>0</v>
      </c>
      <c r="O17" s="574">
        <f t="shared" si="0"/>
        <v>0</v>
      </c>
    </row>
    <row r="18" spans="1:15" ht="21">
      <c r="A18" s="561"/>
      <c r="B18" s="562" t="s">
        <v>235</v>
      </c>
      <c r="C18" s="564">
        <f>Баланс!C6-Баланс!B6+C6</f>
        <v>0</v>
      </c>
      <c r="D18" s="564">
        <f>Баланс!D6-Баланс!C6+D6</f>
        <v>0</v>
      </c>
      <c r="E18" s="564">
        <f>Баланс!E6-Баланс!D6+E6</f>
        <v>0</v>
      </c>
      <c r="F18" s="564">
        <f>Баланс!F6-Баланс!E6+F6</f>
        <v>0</v>
      </c>
      <c r="G18" s="564">
        <f>Баланс!G6-Баланс!F6+G6</f>
        <v>0</v>
      </c>
      <c r="H18" s="564">
        <f>Баланс!H6-Баланс!G6+H6</f>
        <v>0</v>
      </c>
      <c r="I18" s="564">
        <f>Баланс!I6-Баланс!H6+I6</f>
        <v>0</v>
      </c>
      <c r="J18" s="564">
        <f>Баланс!J6-Баланс!I6+J6</f>
        <v>0</v>
      </c>
      <c r="K18" s="564">
        <f>Баланс!K6-Баланс!J6+K6</f>
        <v>0</v>
      </c>
      <c r="L18" s="564">
        <f>Баланс!L6-Баланс!K6+L6</f>
        <v>0</v>
      </c>
      <c r="M18" s="564">
        <f>Баланс!M6-Баланс!L6+M6</f>
        <v>0</v>
      </c>
      <c r="N18" s="564">
        <f>Баланс!N6-Баланс!M6+N6</f>
        <v>0</v>
      </c>
      <c r="O18" s="565">
        <f t="shared" si="0"/>
        <v>0</v>
      </c>
    </row>
    <row r="19" spans="1:15" ht="36" customHeight="1">
      <c r="A19" s="561"/>
      <c r="B19" s="562" t="s">
        <v>236</v>
      </c>
      <c r="C19" s="564">
        <f>Баланс!C10-Баланс!B10</f>
        <v>0</v>
      </c>
      <c r="D19" s="564">
        <f>Баланс!D10-Баланс!C10</f>
        <v>0</v>
      </c>
      <c r="E19" s="564">
        <f>Баланс!E10-Баланс!D10</f>
        <v>0</v>
      </c>
      <c r="F19" s="564">
        <f>Баланс!F10-Баланс!E10</f>
        <v>0</v>
      </c>
      <c r="G19" s="564">
        <f>Баланс!G10-Баланс!F10</f>
        <v>0</v>
      </c>
      <c r="H19" s="564">
        <f>Баланс!H10-Баланс!G10</f>
        <v>0</v>
      </c>
      <c r="I19" s="564">
        <f>Баланс!I10-Баланс!H10</f>
        <v>0</v>
      </c>
      <c r="J19" s="564">
        <f>Баланс!J10-Баланс!I10</f>
        <v>0</v>
      </c>
      <c r="K19" s="564">
        <f>Баланс!K10-Баланс!J10</f>
        <v>0</v>
      </c>
      <c r="L19" s="564">
        <f>Баланс!L10-Баланс!K10</f>
        <v>0</v>
      </c>
      <c r="M19" s="564">
        <f>Баланс!M10-Баланс!L10</f>
        <v>0</v>
      </c>
      <c r="N19" s="564">
        <f>Баланс!N10-Баланс!M10</f>
        <v>0</v>
      </c>
      <c r="O19" s="565">
        <f t="shared" si="0"/>
        <v>0</v>
      </c>
    </row>
    <row r="20" spans="1:15" ht="10.5">
      <c r="A20" s="561"/>
      <c r="B20" s="562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1"/>
    </row>
    <row r="21" spans="1:15" ht="27" customHeight="1">
      <c r="A21" s="595"/>
      <c r="B21" s="596" t="s">
        <v>238</v>
      </c>
      <c r="C21" s="597">
        <f>C5+C6-C10-C17</f>
        <v>0</v>
      </c>
      <c r="D21" s="597">
        <f aca="true" t="shared" si="3" ref="D21:N21">D5+D6-D10-D17</f>
        <v>0</v>
      </c>
      <c r="E21" s="597">
        <f t="shared" si="3"/>
        <v>0</v>
      </c>
      <c r="F21" s="597">
        <f t="shared" si="3"/>
        <v>0</v>
      </c>
      <c r="G21" s="597">
        <f t="shared" si="3"/>
        <v>0</v>
      </c>
      <c r="H21" s="597">
        <f t="shared" si="3"/>
        <v>0</v>
      </c>
      <c r="I21" s="597">
        <f t="shared" si="3"/>
        <v>0</v>
      </c>
      <c r="J21" s="597">
        <f t="shared" si="3"/>
        <v>0</v>
      </c>
      <c r="K21" s="597">
        <f t="shared" si="3"/>
        <v>0</v>
      </c>
      <c r="L21" s="597">
        <f t="shared" si="3"/>
        <v>0</v>
      </c>
      <c r="M21" s="597">
        <f t="shared" si="3"/>
        <v>0</v>
      </c>
      <c r="N21" s="597">
        <f t="shared" si="3"/>
        <v>0</v>
      </c>
      <c r="O21" s="598">
        <f t="shared" si="0"/>
        <v>0</v>
      </c>
    </row>
  </sheetData>
  <printOptions/>
  <pageMargins left="0.75" right="0.75" top="0.72" bottom="1.3" header="0.5" footer="0.5"/>
  <pageSetup fitToHeight="1" fitToWidth="1" horizontalDpi="300" verticalDpi="300" orientation="landscape" paperSize="9" scale="68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17"/>
  <sheetViews>
    <sheetView zoomScale="110" zoomScaleNormal="110" zoomScaleSheetLayoutView="100" workbookViewId="0" topLeftCell="A1">
      <selection activeCell="B11" sqref="B11"/>
    </sheetView>
  </sheetViews>
  <sheetFormatPr defaultColWidth="9.00390625" defaultRowHeight="12.75"/>
  <cols>
    <col min="1" max="1" width="10.625" style="606" customWidth="1"/>
    <col min="2" max="2" width="68.875" style="607" customWidth="1"/>
    <col min="3" max="16384" width="9.125" style="95" customWidth="1"/>
  </cols>
  <sheetData>
    <row r="1" spans="1:2" ht="15">
      <c r="A1" s="610" t="s">
        <v>241</v>
      </c>
      <c r="B1" s="610"/>
    </row>
    <row r="2" spans="1:2" ht="15">
      <c r="A2" s="604" t="s">
        <v>242</v>
      </c>
      <c r="B2" s="605" t="s">
        <v>280</v>
      </c>
    </row>
    <row r="3" spans="1:2" ht="15">
      <c r="A3" s="604" t="s">
        <v>243</v>
      </c>
      <c r="B3" s="613" t="s">
        <v>295</v>
      </c>
    </row>
    <row r="4" spans="1:2" ht="15">
      <c r="A4" s="604" t="s">
        <v>281</v>
      </c>
      <c r="B4" s="613" t="s">
        <v>296</v>
      </c>
    </row>
    <row r="5" spans="1:2" ht="15">
      <c r="A5" s="604" t="s">
        <v>282</v>
      </c>
      <c r="B5" s="605" t="s">
        <v>297</v>
      </c>
    </row>
    <row r="6" spans="1:2" ht="15">
      <c r="A6" s="604" t="s">
        <v>283</v>
      </c>
      <c r="B6" s="605" t="s">
        <v>298</v>
      </c>
    </row>
    <row r="7" spans="1:2" ht="15">
      <c r="A7" s="604" t="s">
        <v>284</v>
      </c>
      <c r="B7" s="605" t="s">
        <v>299</v>
      </c>
    </row>
    <row r="8" spans="1:2" ht="15">
      <c r="A8" s="604" t="s">
        <v>285</v>
      </c>
      <c r="B8" s="605" t="s">
        <v>300</v>
      </c>
    </row>
    <row r="9" spans="1:2" ht="15">
      <c r="A9" s="604" t="s">
        <v>286</v>
      </c>
      <c r="B9" s="605" t="s">
        <v>301</v>
      </c>
    </row>
    <row r="10" spans="1:2" ht="15">
      <c r="A10" s="604" t="s">
        <v>287</v>
      </c>
      <c r="B10" s="605" t="s">
        <v>302</v>
      </c>
    </row>
    <row r="11" spans="1:2" ht="15">
      <c r="A11" s="604" t="s">
        <v>288</v>
      </c>
      <c r="B11" s="613" t="s">
        <v>303</v>
      </c>
    </row>
    <row r="12" spans="1:2" ht="15">
      <c r="A12" s="604" t="s">
        <v>289</v>
      </c>
      <c r="B12" s="605" t="s">
        <v>240</v>
      </c>
    </row>
    <row r="13" spans="1:2" ht="15">
      <c r="A13" s="604" t="s">
        <v>290</v>
      </c>
      <c r="B13" s="605" t="s">
        <v>135</v>
      </c>
    </row>
    <row r="14" spans="1:2" ht="15">
      <c r="A14" s="604" t="s">
        <v>291</v>
      </c>
      <c r="B14" s="605" t="s">
        <v>169</v>
      </c>
    </row>
    <row r="15" spans="1:2" ht="15">
      <c r="A15" s="604" t="s">
        <v>292</v>
      </c>
      <c r="B15" s="605" t="s">
        <v>225</v>
      </c>
    </row>
    <row r="16" spans="1:2" ht="15">
      <c r="A16" s="604" t="s">
        <v>293</v>
      </c>
      <c r="B16" s="605" t="s">
        <v>194</v>
      </c>
    </row>
    <row r="17" spans="1:2" ht="15">
      <c r="A17" s="604" t="s">
        <v>294</v>
      </c>
      <c r="B17" s="605" t="s">
        <v>237</v>
      </c>
    </row>
  </sheetData>
  <mergeCells count="1">
    <mergeCell ref="A1:B1"/>
  </mergeCells>
  <hyperlinks>
    <hyperlink ref="B2" location="Классификаторы!A1" display="Классификаторы"/>
    <hyperlink ref="B3" location="'Технологическая карта 1'!A1" display="Технологические карты 1"/>
    <hyperlink ref="B4" location="'Технологическая карта 2 (вспом)'!A1" display="Технологические карты 2"/>
    <hyperlink ref="B5" location="Оборачиваемость!A1" display="Оборачиваемость в днях и в единицах"/>
    <hyperlink ref="B6" location="Продажи!A1" display="Реализация продукции"/>
    <hyperlink ref="B7" location="'Объем пр-ва'!A1" display="Производство готовой продукции"/>
    <hyperlink ref="B8" location="'Программа пр-ва'!A1" display="Программа производства по центрам ответственности"/>
    <hyperlink ref="B9" location="'Закупки сырья'!A1" display="Объем закупок"/>
    <hyperlink ref="B10" location="'Расчет зарплаты'!A1" display="Прямые затраты на оплату труда"/>
    <hyperlink ref="B11" location="'Общепроизвод расходы'!A1" display="Накладные производственные затраты"/>
    <hyperlink ref="B12" location="'Адм и Ком'!A1" display="Административные и коммерческие расходы"/>
    <hyperlink ref="B13" location="БДР!A1" display="Бюджет доходов и расходов по операционной деятельности"/>
    <hyperlink ref="B14" location="Инвестиции!A1" display="Инвестиции"/>
    <hyperlink ref="B15" location="ФинД!A1" display="Финансовая деятельность"/>
    <hyperlink ref="B16" location="Баланс!A1" display="Прогнозный баланс"/>
    <hyperlink ref="B17" location="'ДДС-Косв'!A1" display="Отчет о движении денежных средств косвенным методом"/>
  </hyperlinks>
  <printOptions/>
  <pageMargins left="0.7874015748031497" right="0.7874015748031497" top="0.7874015748031497" bottom="1.299212598425197" header="0.5118110236220472" footer="0.5118110236220472"/>
  <pageSetup horizontalDpi="600" verticalDpi="600" orientation="portrait" paperSize="9" r:id="rId2"/>
  <headerFooter alignWithMargins="0">
    <oddHeader>&amp;LФинансовая бюджетная модель (производство)&amp;C
</oddHeader>
    <oddFooter>&amp;LСтраница &amp;P 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view="pageBreakPreview" zoomScaleSheetLayoutView="100" workbookViewId="0" topLeftCell="A1">
      <pane ySplit="1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75390625" style="23" customWidth="1"/>
    <col min="2" max="2" width="62.875" style="24" customWidth="1"/>
    <col min="3" max="3" width="29.875" style="3" customWidth="1"/>
    <col min="4" max="4" width="25.375" style="3" customWidth="1"/>
    <col min="5" max="8" width="6.25390625" style="3" customWidth="1"/>
    <col min="9" max="10" width="7.00390625" style="3" customWidth="1"/>
    <col min="11" max="11" width="9.75390625" style="3" customWidth="1"/>
    <col min="12" max="40" width="6.25390625" style="3" customWidth="1"/>
    <col min="41" max="16384" width="9.125" style="3" customWidth="1"/>
  </cols>
  <sheetData>
    <row r="1" spans="1:2" ht="10.5">
      <c r="A1" s="1" t="s">
        <v>0</v>
      </c>
      <c r="B1" s="2" t="s">
        <v>1</v>
      </c>
    </row>
    <row r="2" spans="1:2" ht="10.5">
      <c r="A2" s="4"/>
      <c r="B2" s="5"/>
    </row>
    <row r="3" spans="1:2" s="8" customFormat="1" ht="12.75">
      <c r="A3" s="6"/>
      <c r="B3" s="7" t="s">
        <v>2</v>
      </c>
    </row>
    <row r="4" spans="1:2" ht="10.5">
      <c r="A4" s="25" t="s">
        <v>3</v>
      </c>
      <c r="B4" s="9" t="s">
        <v>350</v>
      </c>
    </row>
    <row r="5" spans="1:2" ht="10.5">
      <c r="A5" s="25" t="s">
        <v>4</v>
      </c>
      <c r="B5" s="10" t="s">
        <v>348</v>
      </c>
    </row>
    <row r="6" spans="1:2" ht="10.5">
      <c r="A6" s="25" t="s">
        <v>5</v>
      </c>
      <c r="B6" s="10" t="s">
        <v>37</v>
      </c>
    </row>
    <row r="7" spans="1:2" ht="10.5">
      <c r="A7" s="25" t="s">
        <v>6</v>
      </c>
      <c r="B7" s="10" t="s">
        <v>349</v>
      </c>
    </row>
    <row r="8" spans="1:3" ht="10.5">
      <c r="A8" s="25" t="s">
        <v>7</v>
      </c>
      <c r="B8" s="9" t="s">
        <v>113</v>
      </c>
      <c r="C8" s="453"/>
    </row>
    <row r="9" spans="1:3" ht="10.5">
      <c r="A9" s="25" t="s">
        <v>8</v>
      </c>
      <c r="B9" s="10" t="s">
        <v>102</v>
      </c>
      <c r="C9" s="454"/>
    </row>
    <row r="10" spans="1:3" ht="10.5">
      <c r="A10" s="25" t="s">
        <v>9</v>
      </c>
      <c r="B10" s="10" t="s">
        <v>351</v>
      </c>
      <c r="C10" s="454"/>
    </row>
    <row r="11" spans="1:3" ht="10.5">
      <c r="A11" s="25" t="s">
        <v>10</v>
      </c>
      <c r="B11" s="10" t="s">
        <v>352</v>
      </c>
      <c r="C11" s="454"/>
    </row>
    <row r="12" spans="1:3" ht="10.5">
      <c r="A12" s="25" t="s">
        <v>11</v>
      </c>
      <c r="B12" s="10" t="s">
        <v>353</v>
      </c>
      <c r="C12" s="454"/>
    </row>
    <row r="13" spans="1:3" ht="10.5">
      <c r="A13" s="25" t="s">
        <v>38</v>
      </c>
      <c r="B13" s="10" t="s">
        <v>357</v>
      </c>
      <c r="C13" s="454"/>
    </row>
    <row r="14" spans="1:3" ht="10.5">
      <c r="A14" s="25" t="s">
        <v>39</v>
      </c>
      <c r="B14" s="10" t="s">
        <v>360</v>
      </c>
      <c r="C14" s="454"/>
    </row>
    <row r="15" spans="1:3" ht="10.5">
      <c r="A15" s="25" t="s">
        <v>105</v>
      </c>
      <c r="B15" s="11" t="s">
        <v>42</v>
      </c>
      <c r="C15" s="455"/>
    </row>
    <row r="16" spans="1:3" ht="10.5">
      <c r="A16" s="25" t="s">
        <v>106</v>
      </c>
      <c r="B16" s="11" t="s">
        <v>354</v>
      </c>
      <c r="C16" s="455"/>
    </row>
    <row r="17" spans="1:3" ht="10.5">
      <c r="A17" s="25" t="s">
        <v>107</v>
      </c>
      <c r="B17" s="11" t="s">
        <v>355</v>
      </c>
      <c r="C17" s="455"/>
    </row>
    <row r="18" spans="1:3" ht="10.5">
      <c r="A18" s="25" t="s">
        <v>108</v>
      </c>
      <c r="B18" s="11" t="s">
        <v>356</v>
      </c>
      <c r="C18" s="455"/>
    </row>
    <row r="19" spans="1:3" ht="10.5">
      <c r="A19" s="25" t="s">
        <v>109</v>
      </c>
      <c r="B19" s="11" t="s">
        <v>358</v>
      </c>
      <c r="C19" s="455"/>
    </row>
    <row r="20" spans="1:3" ht="10.5">
      <c r="A20" s="25" t="s">
        <v>110</v>
      </c>
      <c r="B20" s="11" t="s">
        <v>43</v>
      </c>
      <c r="C20" s="455"/>
    </row>
    <row r="21" spans="1:3" ht="10.5">
      <c r="A21" s="25" t="s">
        <v>40</v>
      </c>
      <c r="B21" s="10" t="s">
        <v>359</v>
      </c>
      <c r="C21" s="454"/>
    </row>
    <row r="22" spans="1:3" ht="10.5">
      <c r="A22" s="25" t="s">
        <v>111</v>
      </c>
      <c r="B22" s="11" t="s">
        <v>42</v>
      </c>
      <c r="C22" s="455"/>
    </row>
    <row r="23" spans="1:3" ht="10.5">
      <c r="A23" s="25" t="s">
        <v>112</v>
      </c>
      <c r="B23" s="11" t="s">
        <v>43</v>
      </c>
      <c r="C23" s="455"/>
    </row>
    <row r="24" spans="1:3" ht="10.5">
      <c r="A24" s="25" t="s">
        <v>41</v>
      </c>
      <c r="B24" s="10" t="s">
        <v>104</v>
      </c>
      <c r="C24" s="454"/>
    </row>
    <row r="25" spans="1:3" ht="10.5">
      <c r="A25" s="25" t="s">
        <v>12</v>
      </c>
      <c r="B25" s="9" t="s">
        <v>114</v>
      </c>
      <c r="C25" s="453"/>
    </row>
    <row r="26" spans="1:3" ht="10.5">
      <c r="A26" s="25" t="s">
        <v>13</v>
      </c>
      <c r="B26" s="10" t="s">
        <v>363</v>
      </c>
      <c r="C26" s="454"/>
    </row>
    <row r="27" spans="1:3" ht="10.5">
      <c r="A27" s="25" t="s">
        <v>122</v>
      </c>
      <c r="B27" s="11" t="s">
        <v>42</v>
      </c>
      <c r="C27" s="455"/>
    </row>
    <row r="28" spans="1:3" ht="10.5">
      <c r="A28" s="25" t="s">
        <v>123</v>
      </c>
      <c r="B28" s="11" t="s">
        <v>361</v>
      </c>
      <c r="C28" s="455"/>
    </row>
    <row r="29" spans="1:3" ht="10.5">
      <c r="A29" s="25" t="s">
        <v>124</v>
      </c>
      <c r="B29" s="11" t="s">
        <v>103</v>
      </c>
      <c r="C29" s="455"/>
    </row>
    <row r="30" spans="1:3" ht="10.5">
      <c r="A30" s="25" t="s">
        <v>125</v>
      </c>
      <c r="B30" s="11" t="s">
        <v>43</v>
      </c>
      <c r="C30" s="455"/>
    </row>
    <row r="31" spans="1:3" ht="10.5">
      <c r="A31" s="25" t="s">
        <v>14</v>
      </c>
      <c r="B31" s="10" t="s">
        <v>362</v>
      </c>
      <c r="C31" s="454"/>
    </row>
    <row r="32" spans="1:3" ht="10.5">
      <c r="A32" s="25" t="s">
        <v>126</v>
      </c>
      <c r="B32" s="11" t="s">
        <v>42</v>
      </c>
      <c r="C32" s="455"/>
    </row>
    <row r="33" spans="1:3" ht="10.5">
      <c r="A33" s="25" t="s">
        <v>127</v>
      </c>
      <c r="B33" s="11" t="s">
        <v>364</v>
      </c>
      <c r="C33" s="455"/>
    </row>
    <row r="34" spans="1:3" ht="10.5">
      <c r="A34" s="25" t="s">
        <v>128</v>
      </c>
      <c r="B34" s="11" t="s">
        <v>365</v>
      </c>
      <c r="C34" s="455"/>
    </row>
    <row r="35" spans="1:3" ht="10.5">
      <c r="A35" s="25" t="s">
        <v>129</v>
      </c>
      <c r="B35" s="11" t="s">
        <v>366</v>
      </c>
      <c r="C35" s="455"/>
    </row>
    <row r="36" spans="1:3" ht="10.5">
      <c r="A36" s="25" t="s">
        <v>130</v>
      </c>
      <c r="B36" s="11" t="s">
        <v>43</v>
      </c>
      <c r="C36" s="455"/>
    </row>
    <row r="37" spans="1:2" ht="10.5">
      <c r="A37" s="25" t="s">
        <v>15</v>
      </c>
      <c r="B37" s="9" t="s">
        <v>44</v>
      </c>
    </row>
    <row r="38" spans="1:2" ht="10.5">
      <c r="A38" s="25" t="s">
        <v>17</v>
      </c>
      <c r="B38" s="10" t="s">
        <v>367</v>
      </c>
    </row>
    <row r="39" spans="1:2" ht="10.5">
      <c r="A39" s="25" t="s">
        <v>19</v>
      </c>
      <c r="B39" s="10" t="s">
        <v>368</v>
      </c>
    </row>
    <row r="40" spans="1:2" ht="10.5">
      <c r="A40" s="25" t="s">
        <v>20</v>
      </c>
      <c r="B40" s="10" t="s">
        <v>376</v>
      </c>
    </row>
    <row r="41" spans="1:2" ht="10.5">
      <c r="A41" s="25" t="s">
        <v>21</v>
      </c>
      <c r="B41" s="10" t="s">
        <v>244</v>
      </c>
    </row>
    <row r="42" spans="1:2" ht="10.5">
      <c r="A42" s="25" t="s">
        <v>22</v>
      </c>
      <c r="B42" s="10" t="s">
        <v>245</v>
      </c>
    </row>
    <row r="43" spans="1:2" ht="10.5">
      <c r="A43" s="25" t="s">
        <v>246</v>
      </c>
      <c r="B43" s="10" t="s">
        <v>45</v>
      </c>
    </row>
    <row r="44" spans="1:2" ht="10.5">
      <c r="A44" s="25" t="s">
        <v>115</v>
      </c>
      <c r="B44" s="9" t="s">
        <v>16</v>
      </c>
    </row>
    <row r="45" spans="1:2" ht="10.5">
      <c r="A45" s="25" t="s">
        <v>116</v>
      </c>
      <c r="B45" s="10" t="s">
        <v>46</v>
      </c>
    </row>
    <row r="46" spans="1:2" ht="10.5">
      <c r="A46" s="25" t="s">
        <v>117</v>
      </c>
      <c r="B46" s="10" t="s">
        <v>43</v>
      </c>
    </row>
    <row r="47" spans="1:2" ht="10.5">
      <c r="A47" s="25" t="s">
        <v>118</v>
      </c>
      <c r="B47" s="10" t="s">
        <v>18</v>
      </c>
    </row>
    <row r="48" spans="1:2" ht="10.5">
      <c r="A48" s="25" t="s">
        <v>119</v>
      </c>
      <c r="B48" s="10" t="s">
        <v>369</v>
      </c>
    </row>
    <row r="49" spans="1:2" ht="10.5">
      <c r="A49" s="25" t="s">
        <v>120</v>
      </c>
      <c r="B49" s="10" t="s">
        <v>370</v>
      </c>
    </row>
    <row r="50" spans="1:2" ht="10.5">
      <c r="A50" s="25" t="s">
        <v>121</v>
      </c>
      <c r="B50" s="10" t="s">
        <v>47</v>
      </c>
    </row>
    <row r="51" spans="1:2" ht="11.25" thickBot="1">
      <c r="A51" s="12" t="s">
        <v>23</v>
      </c>
      <c r="B51" s="13" t="s">
        <v>64</v>
      </c>
    </row>
    <row r="52" spans="1:2" ht="10.5">
      <c r="A52" s="4"/>
      <c r="B52" s="14"/>
    </row>
    <row r="53" spans="1:2" ht="10.5">
      <c r="A53" s="4"/>
      <c r="B53" s="14"/>
    </row>
    <row r="54" spans="1:2" s="8" customFormat="1" ht="12.75">
      <c r="A54" s="15"/>
      <c r="B54" s="7" t="s">
        <v>48</v>
      </c>
    </row>
    <row r="55" spans="1:2" ht="10.5">
      <c r="A55" s="26" t="s">
        <v>24</v>
      </c>
      <c r="B55" s="17" t="s">
        <v>25</v>
      </c>
    </row>
    <row r="56" spans="1:2" ht="10.5">
      <c r="A56" s="26" t="s">
        <v>26</v>
      </c>
      <c r="B56" s="10" t="s">
        <v>62</v>
      </c>
    </row>
    <row r="57" spans="1:2" ht="10.5">
      <c r="A57" s="26" t="s">
        <v>27</v>
      </c>
      <c r="B57" s="10" t="s">
        <v>49</v>
      </c>
    </row>
    <row r="58" spans="1:2" ht="10.5">
      <c r="A58" s="26" t="s">
        <v>28</v>
      </c>
      <c r="B58" s="10" t="s">
        <v>378</v>
      </c>
    </row>
    <row r="59" spans="1:2" ht="10.5">
      <c r="A59" s="26" t="s">
        <v>29</v>
      </c>
      <c r="B59" s="10" t="s">
        <v>379</v>
      </c>
    </row>
    <row r="60" spans="1:2" ht="10.5">
      <c r="A60" s="26" t="s">
        <v>51</v>
      </c>
      <c r="B60" s="10" t="s">
        <v>50</v>
      </c>
    </row>
    <row r="61" spans="1:2" ht="10.5">
      <c r="A61" s="26" t="s">
        <v>30</v>
      </c>
      <c r="B61" s="10" t="s">
        <v>380</v>
      </c>
    </row>
    <row r="62" spans="1:2" ht="10.5">
      <c r="A62" s="26" t="s">
        <v>31</v>
      </c>
      <c r="B62" s="10" t="s">
        <v>381</v>
      </c>
    </row>
    <row r="63" spans="1:3" ht="10.5">
      <c r="A63" s="26" t="s">
        <v>32</v>
      </c>
      <c r="B63" s="10" t="s">
        <v>382</v>
      </c>
      <c r="C63" s="18"/>
    </row>
    <row r="64" spans="1:2" ht="10.5">
      <c r="A64" s="26" t="s">
        <v>34</v>
      </c>
      <c r="B64" s="10" t="s">
        <v>383</v>
      </c>
    </row>
    <row r="65" spans="1:2" ht="10.5">
      <c r="A65" s="26" t="s">
        <v>35</v>
      </c>
      <c r="B65" s="10" t="s">
        <v>384</v>
      </c>
    </row>
    <row r="66" spans="1:3" ht="10.5">
      <c r="A66" s="26" t="s">
        <v>52</v>
      </c>
      <c r="B66" s="10" t="s">
        <v>33</v>
      </c>
      <c r="C66" s="18"/>
    </row>
    <row r="67" spans="1:2" ht="11.25" thickBot="1">
      <c r="A67" s="12" t="s">
        <v>23</v>
      </c>
      <c r="B67" s="13" t="s">
        <v>64</v>
      </c>
    </row>
    <row r="68" spans="1:2" ht="10.5">
      <c r="A68" s="4"/>
      <c r="B68" s="14"/>
    </row>
    <row r="69" spans="1:2" ht="10.5">
      <c r="A69" s="4"/>
      <c r="B69" s="14"/>
    </row>
    <row r="70" spans="1:2" s="8" customFormat="1" ht="12.75">
      <c r="A70" s="6"/>
      <c r="B70" s="7" t="s">
        <v>58</v>
      </c>
    </row>
    <row r="71" spans="1:2" ht="10.5">
      <c r="A71" s="26" t="s">
        <v>341</v>
      </c>
      <c r="B71" s="9" t="s">
        <v>385</v>
      </c>
    </row>
    <row r="72" spans="1:2" ht="10.5">
      <c r="A72" s="26" t="s">
        <v>260</v>
      </c>
      <c r="B72" s="10" t="s">
        <v>413</v>
      </c>
    </row>
    <row r="73" spans="1:2" ht="10.5">
      <c r="A73" s="26" t="s">
        <v>250</v>
      </c>
      <c r="B73" s="10" t="s">
        <v>386</v>
      </c>
    </row>
    <row r="74" spans="1:2" ht="10.5">
      <c r="A74" s="26" t="s">
        <v>251</v>
      </c>
      <c r="B74" s="10" t="s">
        <v>387</v>
      </c>
    </row>
    <row r="75" spans="1:2" ht="10.5">
      <c r="A75" s="26" t="s">
        <v>252</v>
      </c>
      <c r="B75" s="10" t="s">
        <v>388</v>
      </c>
    </row>
    <row r="76" spans="1:2" ht="10.5">
      <c r="A76" s="26" t="s">
        <v>253</v>
      </c>
      <c r="B76" s="10" t="s">
        <v>389</v>
      </c>
    </row>
    <row r="77" spans="1:2" ht="10.5">
      <c r="A77" s="26" t="s">
        <v>254</v>
      </c>
      <c r="B77" s="10" t="s">
        <v>390</v>
      </c>
    </row>
    <row r="78" spans="1:2" ht="10.5">
      <c r="A78" s="26" t="s">
        <v>261</v>
      </c>
      <c r="B78" s="10" t="s">
        <v>414</v>
      </c>
    </row>
    <row r="79" spans="1:2" ht="10.5">
      <c r="A79" s="26" t="s">
        <v>255</v>
      </c>
      <c r="B79" s="10" t="s">
        <v>391</v>
      </c>
    </row>
    <row r="80" spans="1:2" ht="10.5">
      <c r="A80" s="26" t="s">
        <v>256</v>
      </c>
      <c r="B80" s="10" t="s">
        <v>392</v>
      </c>
    </row>
    <row r="81" spans="1:2" ht="10.5">
      <c r="A81" s="26" t="s">
        <v>257</v>
      </c>
      <c r="B81" s="10" t="s">
        <v>393</v>
      </c>
    </row>
    <row r="82" spans="1:2" ht="10.5">
      <c r="A82" s="26" t="s">
        <v>258</v>
      </c>
      <c r="B82" s="10" t="s">
        <v>394</v>
      </c>
    </row>
    <row r="83" spans="1:2" ht="10.5">
      <c r="A83" s="26" t="s">
        <v>259</v>
      </c>
      <c r="B83" s="10" t="s">
        <v>395</v>
      </c>
    </row>
    <row r="84" spans="1:2" ht="10.5">
      <c r="A84" s="26" t="s">
        <v>262</v>
      </c>
      <c r="B84" s="9" t="s">
        <v>398</v>
      </c>
    </row>
    <row r="85" spans="1:2" ht="10.5">
      <c r="A85" s="26" t="s">
        <v>263</v>
      </c>
      <c r="B85" s="10" t="s">
        <v>415</v>
      </c>
    </row>
    <row r="86" spans="1:2" ht="10.5">
      <c r="A86" s="26" t="s">
        <v>264</v>
      </c>
      <c r="B86" s="10" t="s">
        <v>396</v>
      </c>
    </row>
    <row r="87" spans="1:2" ht="10.5">
      <c r="A87" s="26" t="s">
        <v>265</v>
      </c>
      <c r="B87" s="10" t="s">
        <v>397</v>
      </c>
    </row>
    <row r="88" spans="1:2" ht="10.5">
      <c r="A88" s="26" t="s">
        <v>266</v>
      </c>
      <c r="B88" s="10" t="s">
        <v>416</v>
      </c>
    </row>
    <row r="89" spans="1:2" ht="10.5">
      <c r="A89" s="26" t="s">
        <v>267</v>
      </c>
      <c r="B89" s="10" t="s">
        <v>399</v>
      </c>
    </row>
    <row r="90" spans="1:2" ht="10.5">
      <c r="A90" s="26" t="s">
        <v>268</v>
      </c>
      <c r="B90" s="10" t="s">
        <v>400</v>
      </c>
    </row>
    <row r="91" spans="1:2" ht="10.5">
      <c r="A91" s="26" t="s">
        <v>269</v>
      </c>
      <c r="B91" s="10" t="s">
        <v>401</v>
      </c>
    </row>
    <row r="92" spans="1:2" ht="11.25" thickBot="1">
      <c r="A92" s="12" t="s">
        <v>23</v>
      </c>
      <c r="B92" s="13" t="s">
        <v>64</v>
      </c>
    </row>
    <row r="93" spans="1:2" ht="10.5">
      <c r="A93" s="20"/>
      <c r="B93" s="21"/>
    </row>
    <row r="94" spans="1:2" ht="10.5">
      <c r="A94" s="20"/>
      <c r="B94" s="22"/>
    </row>
    <row r="95" spans="1:2" s="8" customFormat="1" ht="12.75">
      <c r="A95" s="6"/>
      <c r="B95" s="7" t="s">
        <v>182</v>
      </c>
    </row>
    <row r="96" spans="1:2" ht="10.5">
      <c r="A96" s="26" t="s">
        <v>183</v>
      </c>
      <c r="B96" s="10" t="s">
        <v>371</v>
      </c>
    </row>
    <row r="97" spans="1:2" ht="10.5">
      <c r="A97" s="26" t="s">
        <v>184</v>
      </c>
      <c r="B97" s="10" t="s">
        <v>171</v>
      </c>
    </row>
    <row r="98" spans="1:2" ht="10.5">
      <c r="A98" s="26" t="s">
        <v>186</v>
      </c>
      <c r="B98" s="11" t="s">
        <v>172</v>
      </c>
    </row>
    <row r="99" spans="1:2" ht="10.5">
      <c r="A99" s="26" t="s">
        <v>187</v>
      </c>
      <c r="B99" s="11" t="s">
        <v>173</v>
      </c>
    </row>
    <row r="100" spans="1:2" ht="10.5">
      <c r="A100" s="26" t="s">
        <v>188</v>
      </c>
      <c r="B100" s="11" t="s">
        <v>372</v>
      </c>
    </row>
    <row r="101" spans="1:2" ht="10.5">
      <c r="A101" s="26" t="s">
        <v>189</v>
      </c>
      <c r="B101" s="11" t="s">
        <v>174</v>
      </c>
    </row>
    <row r="102" spans="1:2" ht="10.5">
      <c r="A102" s="26" t="s">
        <v>185</v>
      </c>
      <c r="B102" s="10" t="s">
        <v>175</v>
      </c>
    </row>
    <row r="103" spans="1:2" ht="10.5">
      <c r="A103" s="26" t="s">
        <v>190</v>
      </c>
      <c r="B103" s="10" t="s">
        <v>176</v>
      </c>
    </row>
    <row r="104" spans="1:2" ht="10.5">
      <c r="A104" s="26" t="s">
        <v>191</v>
      </c>
      <c r="B104" s="10" t="s">
        <v>177</v>
      </c>
    </row>
    <row r="105" spans="1:2" ht="10.5">
      <c r="A105" s="26" t="s">
        <v>192</v>
      </c>
      <c r="B105" s="11" t="s">
        <v>373</v>
      </c>
    </row>
    <row r="106" spans="1:2" ht="10.5">
      <c r="A106" s="26" t="s">
        <v>193</v>
      </c>
      <c r="B106" s="11" t="s">
        <v>178</v>
      </c>
    </row>
    <row r="107" spans="1:2" ht="11.25" thickBot="1">
      <c r="A107" s="12" t="s">
        <v>23</v>
      </c>
      <c r="B107" s="13" t="s">
        <v>64</v>
      </c>
    </row>
    <row r="108" spans="1:2" ht="10.5">
      <c r="A108" s="20"/>
      <c r="B108" s="21"/>
    </row>
  </sheetData>
  <printOptions/>
  <pageMargins left="0.75" right="0.75" top="0.77" bottom="1.3" header="0.5" footer="0.5"/>
  <pageSetup horizontalDpi="300" verticalDpi="300" orientation="portrait" paperSize="9" scale="85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M126"/>
  <sheetViews>
    <sheetView view="pageBreakPreview" zoomScale="85" zoomScaleSheetLayoutView="85" workbookViewId="0" topLeftCell="A1">
      <pane xSplit="3" ySplit="5" topLeftCell="CU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2.75" outlineLevelRow="1" outlineLevelCol="1"/>
  <cols>
    <col min="1" max="1" width="16.875" style="27" bestFit="1" customWidth="1"/>
    <col min="2" max="2" width="3.625" style="27" customWidth="1"/>
    <col min="3" max="3" width="25.75390625" style="27" customWidth="1"/>
    <col min="4" max="4" width="4.00390625" style="27" hidden="1" customWidth="1" outlineLevel="1"/>
    <col min="5" max="7" width="8.625" style="27" hidden="1" customWidth="1" outlineLevel="1"/>
    <col min="8" max="11" width="6.75390625" style="27" hidden="1" customWidth="1" outlineLevel="1"/>
    <col min="12" max="12" width="14.875" style="28" hidden="1" customWidth="1" outlineLevel="1"/>
    <col min="13" max="15" width="13.25390625" style="27" hidden="1" customWidth="1" outlineLevel="1"/>
    <col min="16" max="19" width="6.75390625" style="27" hidden="1" customWidth="1" outlineLevel="1"/>
    <col min="20" max="20" width="14.875" style="27" hidden="1" customWidth="1" outlineLevel="1"/>
    <col min="21" max="23" width="13.25390625" style="27" hidden="1" customWidth="1" outlineLevel="1"/>
    <col min="24" max="27" width="6.75390625" style="27" hidden="1" customWidth="1" outlineLevel="1"/>
    <col min="28" max="28" width="14.875" style="27" hidden="1" customWidth="1" outlineLevel="1"/>
    <col min="29" max="31" width="13.25390625" style="27" hidden="1" customWidth="1" outlineLevel="1"/>
    <col min="32" max="35" width="6.75390625" style="27" hidden="1" customWidth="1" outlineLevel="1"/>
    <col min="36" max="36" width="14.875" style="27" hidden="1" customWidth="1" outlineLevel="1"/>
    <col min="37" max="39" width="13.25390625" style="27" hidden="1" customWidth="1" outlineLevel="1"/>
    <col min="40" max="43" width="6.75390625" style="27" hidden="1" customWidth="1" outlineLevel="1"/>
    <col min="44" max="44" width="14.875" style="27" hidden="1" customWidth="1" outlineLevel="1"/>
    <col min="45" max="47" width="13.25390625" style="27" hidden="1" customWidth="1" outlineLevel="1"/>
    <col min="48" max="51" width="6.75390625" style="27" hidden="1" customWidth="1" outlineLevel="1"/>
    <col min="52" max="52" width="14.875" style="27" hidden="1" customWidth="1" outlineLevel="1"/>
    <col min="53" max="55" width="13.25390625" style="27" hidden="1" customWidth="1" outlineLevel="1"/>
    <col min="56" max="59" width="6.75390625" style="27" hidden="1" customWidth="1" outlineLevel="1"/>
    <col min="60" max="60" width="14.875" style="27" hidden="1" customWidth="1" outlineLevel="1"/>
    <col min="61" max="63" width="13.25390625" style="27" hidden="1" customWidth="1" outlineLevel="1"/>
    <col min="64" max="67" width="6.75390625" style="27" hidden="1" customWidth="1" outlineLevel="1"/>
    <col min="68" max="68" width="14.875" style="27" hidden="1" customWidth="1" outlineLevel="1"/>
    <col min="69" max="71" width="13.25390625" style="27" hidden="1" customWidth="1" outlineLevel="1"/>
    <col min="72" max="75" width="6.75390625" style="27" hidden="1" customWidth="1" outlineLevel="1"/>
    <col min="76" max="76" width="14.875" style="27" hidden="1" customWidth="1" outlineLevel="1"/>
    <col min="77" max="79" width="13.25390625" style="27" hidden="1" customWidth="1" outlineLevel="1"/>
    <col min="80" max="83" width="6.75390625" style="27" hidden="1" customWidth="1" outlineLevel="1"/>
    <col min="84" max="84" width="14.875" style="27" hidden="1" customWidth="1" outlineLevel="1"/>
    <col min="85" max="87" width="13.25390625" style="27" hidden="1" customWidth="1" outlineLevel="1"/>
    <col min="88" max="91" width="6.75390625" style="27" hidden="1" customWidth="1" outlineLevel="1"/>
    <col min="92" max="92" width="14.875" style="27" hidden="1" customWidth="1" outlineLevel="1"/>
    <col min="93" max="95" width="13.25390625" style="27" hidden="1" customWidth="1" outlineLevel="1"/>
    <col min="96" max="99" width="6.75390625" style="27" hidden="1" customWidth="1" outlineLevel="1"/>
    <col min="100" max="100" width="14.875" style="27" hidden="1" customWidth="1" outlineLevel="1"/>
    <col min="101" max="103" width="13.25390625" style="27" hidden="1" customWidth="1" outlineLevel="1"/>
    <col min="104" max="107" width="6.75390625" style="27" hidden="1" customWidth="1" outlineLevel="1"/>
    <col min="108" max="108" width="5.25390625" style="27" hidden="1" customWidth="1" outlineLevel="1"/>
    <col min="109" max="109" width="2.875" style="27" bestFit="1" customWidth="1" collapsed="1"/>
    <col min="110" max="110" width="12.375" style="27" customWidth="1"/>
    <col min="111" max="111" width="11.875" style="27" bestFit="1" customWidth="1"/>
    <col min="112" max="114" width="9.625" style="27" bestFit="1" customWidth="1"/>
    <col min="115" max="116" width="10.75390625" style="27" bestFit="1" customWidth="1"/>
    <col min="117" max="119" width="9.625" style="27" bestFit="1" customWidth="1"/>
    <col min="120" max="121" width="10.75390625" style="27" bestFit="1" customWidth="1"/>
    <col min="122" max="122" width="11.875" style="27" bestFit="1" customWidth="1"/>
    <col min="123" max="123" width="10.75390625" style="27" bestFit="1" customWidth="1"/>
    <col min="124" max="125" width="11.875" style="27" bestFit="1" customWidth="1"/>
    <col min="126" max="126" width="10.75390625" style="27" bestFit="1" customWidth="1"/>
    <col min="127" max="127" width="5.625" style="45" customWidth="1"/>
    <col min="128" max="128" width="9.125" style="27" customWidth="1"/>
    <col min="129" max="129" width="4.375" style="27" bestFit="1" customWidth="1"/>
    <col min="130" max="143" width="3.25390625" style="27" bestFit="1" customWidth="1"/>
    <col min="144" max="16384" width="9.125" style="27" customWidth="1"/>
  </cols>
  <sheetData>
    <row r="1" spans="110:127" ht="10.5">
      <c r="DF1" s="29" t="s">
        <v>26</v>
      </c>
      <c r="DG1" s="29" t="s">
        <v>27</v>
      </c>
      <c r="DH1" s="29" t="s">
        <v>28</v>
      </c>
      <c r="DI1" s="29" t="s">
        <v>28</v>
      </c>
      <c r="DJ1" s="29" t="s">
        <v>28</v>
      </c>
      <c r="DK1" s="29" t="s">
        <v>28</v>
      </c>
      <c r="DL1" s="29" t="s">
        <v>28</v>
      </c>
      <c r="DM1" s="29" t="s">
        <v>28</v>
      </c>
      <c r="DN1" s="29" t="s">
        <v>28</v>
      </c>
      <c r="DO1" s="29" t="s">
        <v>28</v>
      </c>
      <c r="DP1" s="29" t="s">
        <v>28</v>
      </c>
      <c r="DQ1" s="29" t="s">
        <v>28</v>
      </c>
      <c r="DR1" s="29" t="s">
        <v>28</v>
      </c>
      <c r="DS1" s="29" t="s">
        <v>28</v>
      </c>
      <c r="DT1" s="29" t="s">
        <v>28</v>
      </c>
      <c r="DU1" s="29" t="s">
        <v>28</v>
      </c>
      <c r="DV1" s="29" t="s">
        <v>28</v>
      </c>
      <c r="DW1" s="27"/>
    </row>
    <row r="2" spans="2:127" ht="10.5">
      <c r="B2" s="30"/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F2" s="33" t="str">
        <f>VLOOKUP(DF1,Классификаторы!$A$55:$B$66,2,0)</f>
        <v>Цех 1</v>
      </c>
      <c r="DG2" s="33" t="str">
        <f>VLOOKUP(DG1,Классификаторы!$A$55:$B$66,2,0)</f>
        <v>Цех 2</v>
      </c>
      <c r="DH2" s="33" t="str">
        <f>VLOOKUP(DH1,Классификаторы!$A$55:$B$66,2,0)</f>
        <v>Цех 3</v>
      </c>
      <c r="DI2" s="33" t="str">
        <f>VLOOKUP(DI1,Классификаторы!$A$55:$B$66,2,0)</f>
        <v>Цех 3</v>
      </c>
      <c r="DJ2" s="33" t="str">
        <f>VLOOKUP(DJ1,Классификаторы!$A$55:$B$66,2,0)</f>
        <v>Цех 3</v>
      </c>
      <c r="DK2" s="33" t="str">
        <f>VLOOKUP(DK1,Классификаторы!$A$55:$B$66,2,0)</f>
        <v>Цех 3</v>
      </c>
      <c r="DL2" s="33" t="str">
        <f>VLOOKUP(DL1,Классификаторы!$A$55:$B$66,2,0)</f>
        <v>Цех 3</v>
      </c>
      <c r="DM2" s="33" t="str">
        <f>VLOOKUP(DM1,Классификаторы!$A$55:$B$66,2,0)</f>
        <v>Цех 3</v>
      </c>
      <c r="DN2" s="33" t="str">
        <f>VLOOKUP(DN1,Классификаторы!$A$55:$B$66,2,0)</f>
        <v>Цех 3</v>
      </c>
      <c r="DO2" s="33" t="str">
        <f>VLOOKUP(DO1,Классификаторы!$A$55:$B$66,2,0)</f>
        <v>Цех 3</v>
      </c>
      <c r="DP2" s="33" t="str">
        <f>VLOOKUP(DP1,Классификаторы!$A$55:$B$66,2,0)</f>
        <v>Цех 3</v>
      </c>
      <c r="DQ2" s="33" t="str">
        <f>VLOOKUP(DQ1,Классификаторы!$A$55:$B$66,2,0)</f>
        <v>Цех 3</v>
      </c>
      <c r="DR2" s="33" t="str">
        <f>VLOOKUP(DR1,Классификаторы!$A$55:$B$66,2,0)</f>
        <v>Цех 3</v>
      </c>
      <c r="DS2" s="33" t="str">
        <f>VLOOKUP(DS1,Классификаторы!$A$55:$B$66,2,0)</f>
        <v>Цех 3</v>
      </c>
      <c r="DT2" s="33" t="str">
        <f>VLOOKUP(DT1,Классификаторы!$A$55:$B$66,2,0)</f>
        <v>Цех 3</v>
      </c>
      <c r="DU2" s="33" t="str">
        <f>VLOOKUP(DU1,Классификаторы!$A$55:$B$66,2,0)</f>
        <v>Цех 3</v>
      </c>
      <c r="DV2" s="33" t="str">
        <f>VLOOKUP(DV1,Классификаторы!$A$55:$B$66,2,0)</f>
        <v>Цех 3</v>
      </c>
      <c r="DW2" s="34"/>
    </row>
    <row r="3" spans="1:143" ht="10.5">
      <c r="A3" s="35"/>
      <c r="B3" s="30"/>
      <c r="C3" s="31"/>
      <c r="D3" s="31"/>
      <c r="E3" s="31"/>
      <c r="F3" s="31"/>
      <c r="G3" s="31"/>
      <c r="H3" s="31"/>
      <c r="I3" s="31"/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26" t="s">
        <v>250</v>
      </c>
      <c r="DI3" s="26" t="s">
        <v>251</v>
      </c>
      <c r="DJ3" s="26" t="s">
        <v>252</v>
      </c>
      <c r="DK3" s="26" t="s">
        <v>253</v>
      </c>
      <c r="DL3" s="26" t="s">
        <v>254</v>
      </c>
      <c r="DM3" s="26" t="s">
        <v>255</v>
      </c>
      <c r="DN3" s="26" t="s">
        <v>256</v>
      </c>
      <c r="DO3" s="26" t="s">
        <v>257</v>
      </c>
      <c r="DP3" s="26" t="s">
        <v>258</v>
      </c>
      <c r="DQ3" s="26" t="s">
        <v>259</v>
      </c>
      <c r="DR3" s="26" t="s">
        <v>264</v>
      </c>
      <c r="DS3" s="26" t="s">
        <v>265</v>
      </c>
      <c r="DT3" s="26" t="s">
        <v>267</v>
      </c>
      <c r="DU3" s="26" t="s">
        <v>268</v>
      </c>
      <c r="DV3" s="26" t="s">
        <v>269</v>
      </c>
      <c r="DW3" s="34"/>
      <c r="EM3" s="34"/>
    </row>
    <row r="4" spans="2:127" ht="95.25">
      <c r="B4" s="30"/>
      <c r="C4" s="34" t="s">
        <v>61</v>
      </c>
      <c r="D4" s="34"/>
      <c r="E4" s="34"/>
      <c r="F4" s="34"/>
      <c r="G4" s="34"/>
      <c r="H4" s="34"/>
      <c r="I4" s="34"/>
      <c r="J4" s="34"/>
      <c r="K4" s="34"/>
      <c r="L4" s="36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7" t="s">
        <v>59</v>
      </c>
      <c r="DF4" s="38" t="s">
        <v>411</v>
      </c>
      <c r="DG4" s="38" t="s">
        <v>412</v>
      </c>
      <c r="DH4" s="39" t="str">
        <f>VLOOKUP('Технологическая карта 1'!DH3,Классификаторы!$A$71:$B$91,2,0)</f>
        <v>Продукт 1</v>
      </c>
      <c r="DI4" s="39" t="str">
        <f>VLOOKUP('Технологическая карта 1'!DI3,Классификаторы!$A$71:$B$91,2,0)</f>
        <v>Продукт 2</v>
      </c>
      <c r="DJ4" s="39" t="str">
        <f>VLOOKUP('Технологическая карта 1'!DJ3,Классификаторы!$A$71:$B$91,2,0)</f>
        <v>Продукт 3</v>
      </c>
      <c r="DK4" s="39" t="str">
        <f>VLOOKUP('Технологическая карта 1'!DK3,Классификаторы!$A$71:$B$91,2,0)</f>
        <v>Продукт 4</v>
      </c>
      <c r="DL4" s="39" t="str">
        <f>VLOOKUP('Технологическая карта 1'!DL3,Классификаторы!$A$71:$B$91,2,0)</f>
        <v>Продукт 5</v>
      </c>
      <c r="DM4" s="39" t="str">
        <f>VLOOKUP('Технологическая карта 1'!DM3,Классификаторы!$A$71:$B$91,2,0)</f>
        <v>Продукт 6</v>
      </c>
      <c r="DN4" s="39" t="str">
        <f>VLOOKUP('Технологическая карта 1'!DN3,Классификаторы!$A$71:$B$91,2,0)</f>
        <v>Продукт 7</v>
      </c>
      <c r="DO4" s="39" t="str">
        <f>VLOOKUP('Технологическая карта 1'!DO3,Классификаторы!$A$71:$B$91,2,0)</f>
        <v>Продукт 8</v>
      </c>
      <c r="DP4" s="39" t="str">
        <f>VLOOKUP('Технологическая карта 1'!DP3,Классификаторы!$A$71:$B$91,2,0)</f>
        <v>Продукт 9</v>
      </c>
      <c r="DQ4" s="39" t="str">
        <f>VLOOKUP('Технологическая карта 1'!DQ3,Классификаторы!$A$71:$B$91,2,0)</f>
        <v>Продукт 10</v>
      </c>
      <c r="DR4" s="39" t="str">
        <f>VLOOKUP('Технологическая карта 1'!DR3,Классификаторы!$A$71:$B$91,2,0)</f>
        <v>Продукт 11</v>
      </c>
      <c r="DS4" s="39" t="str">
        <f>VLOOKUP('Технологическая карта 1'!DS3,Классификаторы!$A$71:$B$91,2,0)</f>
        <v>Продукт 12</v>
      </c>
      <c r="DT4" s="39" t="str">
        <f>VLOOKUP('Технологическая карта 1'!DT3,Классификаторы!$A$71:$B$91,2,0)</f>
        <v>Продукт 13</v>
      </c>
      <c r="DU4" s="39" t="str">
        <f>VLOOKUP('Технологическая карта 1'!DU3,Классификаторы!$A$71:$B$91,2,0)</f>
        <v>Продукт 14</v>
      </c>
      <c r="DV4" s="39" t="str">
        <f>VLOOKUP('Технологическая карта 1'!DV3,Классификаторы!$A$71:$B$91,2,0)</f>
        <v>Продукт 15</v>
      </c>
      <c r="DW4" s="293" t="s">
        <v>64</v>
      </c>
    </row>
    <row r="5" spans="2:127" ht="10.5">
      <c r="B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 t="s">
        <v>249</v>
      </c>
      <c r="DG5" s="30" t="s">
        <v>249</v>
      </c>
      <c r="DH5" s="30" t="s">
        <v>249</v>
      </c>
      <c r="DI5" s="30" t="s">
        <v>249</v>
      </c>
      <c r="DJ5" s="30" t="s">
        <v>249</v>
      </c>
      <c r="DK5" s="30" t="s">
        <v>249</v>
      </c>
      <c r="DL5" s="30" t="s">
        <v>249</v>
      </c>
      <c r="DM5" s="30" t="s">
        <v>249</v>
      </c>
      <c r="DN5" s="30" t="s">
        <v>249</v>
      </c>
      <c r="DO5" s="30" t="s">
        <v>249</v>
      </c>
      <c r="DP5" s="30" t="s">
        <v>249</v>
      </c>
      <c r="DQ5" s="30" t="s">
        <v>249</v>
      </c>
      <c r="DR5" s="30" t="s">
        <v>247</v>
      </c>
      <c r="DS5" s="30" t="s">
        <v>247</v>
      </c>
      <c r="DT5" s="30" t="s">
        <v>247</v>
      </c>
      <c r="DU5" s="30" t="s">
        <v>247</v>
      </c>
      <c r="DV5" s="30" t="s">
        <v>247</v>
      </c>
      <c r="DW5" s="30"/>
    </row>
    <row r="6" spans="1:127" ht="10.5" hidden="1" outlineLevel="1">
      <c r="A6" s="16" t="s">
        <v>161</v>
      </c>
      <c r="B6" s="40">
        <v>0</v>
      </c>
      <c r="C6" s="41" t="s">
        <v>145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271">
        <v>0</v>
      </c>
      <c r="DG6" s="272">
        <v>0</v>
      </c>
      <c r="DH6" s="272">
        <v>0</v>
      </c>
      <c r="DI6" s="272">
        <v>0</v>
      </c>
      <c r="DJ6" s="272">
        <v>0</v>
      </c>
      <c r="DK6" s="272">
        <v>0</v>
      </c>
      <c r="DL6" s="272">
        <v>0</v>
      </c>
      <c r="DM6" s="272">
        <v>0</v>
      </c>
      <c r="DN6" s="272">
        <v>0</v>
      </c>
      <c r="DO6" s="272">
        <v>0</v>
      </c>
      <c r="DP6" s="272">
        <v>0</v>
      </c>
      <c r="DQ6" s="272">
        <v>0</v>
      </c>
      <c r="DR6" s="272">
        <v>0</v>
      </c>
      <c r="DS6" s="272">
        <v>0</v>
      </c>
      <c r="DT6" s="272">
        <v>0</v>
      </c>
      <c r="DU6" s="272">
        <v>0</v>
      </c>
      <c r="DV6" s="272">
        <v>0</v>
      </c>
      <c r="DW6" s="286" t="s">
        <v>342</v>
      </c>
    </row>
    <row r="7" spans="2:127" ht="10.5" hidden="1" outlineLevel="1">
      <c r="B7" s="30"/>
      <c r="C7" s="41" t="s">
        <v>147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273">
        <v>0</v>
      </c>
      <c r="DG7" s="274">
        <v>0</v>
      </c>
      <c r="DH7" s="274">
        <v>0</v>
      </c>
      <c r="DI7" s="274">
        <v>0</v>
      </c>
      <c r="DJ7" s="274">
        <v>0</v>
      </c>
      <c r="DK7" s="274">
        <v>0</v>
      </c>
      <c r="DL7" s="274">
        <v>0</v>
      </c>
      <c r="DM7" s="274">
        <v>0</v>
      </c>
      <c r="DN7" s="274">
        <v>0</v>
      </c>
      <c r="DO7" s="274">
        <v>0</v>
      </c>
      <c r="DP7" s="274">
        <v>0</v>
      </c>
      <c r="DQ7" s="274">
        <v>0</v>
      </c>
      <c r="DR7" s="274">
        <v>0</v>
      </c>
      <c r="DS7" s="274">
        <v>0</v>
      </c>
      <c r="DT7" s="274">
        <v>0</v>
      </c>
      <c r="DU7" s="274">
        <v>0</v>
      </c>
      <c r="DV7" s="274">
        <v>0</v>
      </c>
      <c r="DW7" s="283" t="s">
        <v>342</v>
      </c>
    </row>
    <row r="8" spans="2:127" ht="10.5" hidden="1" outlineLevel="1">
      <c r="B8" s="30"/>
      <c r="C8" s="41" t="s">
        <v>149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273">
        <v>0</v>
      </c>
      <c r="DG8" s="274">
        <v>0</v>
      </c>
      <c r="DH8" s="274">
        <v>0</v>
      </c>
      <c r="DI8" s="274">
        <v>0</v>
      </c>
      <c r="DJ8" s="274">
        <v>0</v>
      </c>
      <c r="DK8" s="274">
        <v>0</v>
      </c>
      <c r="DL8" s="274">
        <v>0</v>
      </c>
      <c r="DM8" s="274">
        <v>0</v>
      </c>
      <c r="DN8" s="274">
        <v>0</v>
      </c>
      <c r="DO8" s="274">
        <v>0</v>
      </c>
      <c r="DP8" s="274">
        <v>0</v>
      </c>
      <c r="DQ8" s="274">
        <v>0</v>
      </c>
      <c r="DR8" s="274">
        <v>0</v>
      </c>
      <c r="DS8" s="274">
        <v>0</v>
      </c>
      <c r="DT8" s="274">
        <v>0</v>
      </c>
      <c r="DU8" s="274">
        <v>0</v>
      </c>
      <c r="DV8" s="274">
        <v>0</v>
      </c>
      <c r="DW8" s="283" t="s">
        <v>342</v>
      </c>
    </row>
    <row r="9" spans="2:127" ht="10.5" hidden="1" outlineLevel="1">
      <c r="B9" s="30"/>
      <c r="C9" s="41" t="s">
        <v>151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273">
        <v>0</v>
      </c>
      <c r="DG9" s="274">
        <v>0</v>
      </c>
      <c r="DH9" s="274">
        <v>0</v>
      </c>
      <c r="DI9" s="274">
        <v>0</v>
      </c>
      <c r="DJ9" s="274">
        <v>0</v>
      </c>
      <c r="DK9" s="274">
        <v>0</v>
      </c>
      <c r="DL9" s="274">
        <v>0</v>
      </c>
      <c r="DM9" s="274">
        <v>0</v>
      </c>
      <c r="DN9" s="274">
        <v>0</v>
      </c>
      <c r="DO9" s="274">
        <v>0</v>
      </c>
      <c r="DP9" s="274">
        <v>0</v>
      </c>
      <c r="DQ9" s="274">
        <v>0</v>
      </c>
      <c r="DR9" s="274">
        <v>0</v>
      </c>
      <c r="DS9" s="274">
        <v>0</v>
      </c>
      <c r="DT9" s="274">
        <v>0</v>
      </c>
      <c r="DU9" s="274">
        <v>0</v>
      </c>
      <c r="DV9" s="274">
        <v>0</v>
      </c>
      <c r="DW9" s="283" t="s">
        <v>342</v>
      </c>
    </row>
    <row r="10" spans="2:127" ht="10.5" hidden="1" outlineLevel="1">
      <c r="B10" s="30"/>
      <c r="C10" s="41" t="s">
        <v>153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273">
        <v>0</v>
      </c>
      <c r="DG10" s="274">
        <v>0</v>
      </c>
      <c r="DH10" s="274">
        <v>0</v>
      </c>
      <c r="DI10" s="274">
        <v>0</v>
      </c>
      <c r="DJ10" s="274">
        <v>0</v>
      </c>
      <c r="DK10" s="274">
        <v>0</v>
      </c>
      <c r="DL10" s="274">
        <v>0</v>
      </c>
      <c r="DM10" s="274">
        <v>0</v>
      </c>
      <c r="DN10" s="274">
        <v>0</v>
      </c>
      <c r="DO10" s="274">
        <v>0</v>
      </c>
      <c r="DP10" s="274">
        <v>0</v>
      </c>
      <c r="DQ10" s="274">
        <v>0</v>
      </c>
      <c r="DR10" s="274">
        <v>0</v>
      </c>
      <c r="DS10" s="274">
        <v>0</v>
      </c>
      <c r="DT10" s="274">
        <v>0</v>
      </c>
      <c r="DU10" s="274">
        <v>0</v>
      </c>
      <c r="DV10" s="274">
        <v>0</v>
      </c>
      <c r="DW10" s="283" t="s">
        <v>342</v>
      </c>
    </row>
    <row r="11" spans="2:127" ht="10.5" hidden="1" outlineLevel="1">
      <c r="B11" s="30"/>
      <c r="C11" s="41" t="s">
        <v>155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273">
        <v>0</v>
      </c>
      <c r="DG11" s="274">
        <v>0</v>
      </c>
      <c r="DH11" s="274">
        <v>0</v>
      </c>
      <c r="DI11" s="274">
        <v>0</v>
      </c>
      <c r="DJ11" s="274">
        <v>0</v>
      </c>
      <c r="DK11" s="274">
        <v>0</v>
      </c>
      <c r="DL11" s="274">
        <v>0</v>
      </c>
      <c r="DM11" s="274">
        <v>0</v>
      </c>
      <c r="DN11" s="274">
        <v>0</v>
      </c>
      <c r="DO11" s="274">
        <v>0</v>
      </c>
      <c r="DP11" s="274">
        <v>0</v>
      </c>
      <c r="DQ11" s="274">
        <v>0</v>
      </c>
      <c r="DR11" s="274">
        <v>0</v>
      </c>
      <c r="DS11" s="274">
        <v>0</v>
      </c>
      <c r="DT11" s="274">
        <v>0</v>
      </c>
      <c r="DU11" s="274">
        <v>0</v>
      </c>
      <c r="DV11" s="274">
        <v>0</v>
      </c>
      <c r="DW11" s="283" t="s">
        <v>342</v>
      </c>
    </row>
    <row r="12" spans="2:127" ht="10.5" hidden="1" outlineLevel="1">
      <c r="B12" s="30"/>
      <c r="C12" s="41" t="s">
        <v>157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275">
        <v>0</v>
      </c>
      <c r="DG12" s="276">
        <v>0</v>
      </c>
      <c r="DH12" s="276">
        <v>0</v>
      </c>
      <c r="DI12" s="276">
        <v>0</v>
      </c>
      <c r="DJ12" s="276">
        <v>0</v>
      </c>
      <c r="DK12" s="276">
        <v>0</v>
      </c>
      <c r="DL12" s="276">
        <v>0</v>
      </c>
      <c r="DM12" s="276">
        <v>0</v>
      </c>
      <c r="DN12" s="276">
        <v>0</v>
      </c>
      <c r="DO12" s="276">
        <v>0</v>
      </c>
      <c r="DP12" s="276">
        <v>0</v>
      </c>
      <c r="DQ12" s="276">
        <v>0</v>
      </c>
      <c r="DR12" s="276">
        <v>0</v>
      </c>
      <c r="DS12" s="276">
        <v>0</v>
      </c>
      <c r="DT12" s="276">
        <v>0</v>
      </c>
      <c r="DU12" s="276">
        <v>0</v>
      </c>
      <c r="DV12" s="276">
        <v>0</v>
      </c>
      <c r="DW12" s="294" t="s">
        <v>342</v>
      </c>
    </row>
    <row r="13" spans="2:127" ht="10.5" hidden="1" outlineLevel="1">
      <c r="B13" s="30"/>
      <c r="C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</row>
    <row r="14" spans="1:127" ht="10.5" hidden="1" outlineLevel="1">
      <c r="A14" s="16" t="s">
        <v>144</v>
      </c>
      <c r="B14" s="40">
        <v>1</v>
      </c>
      <c r="C14" s="41" t="s">
        <v>145</v>
      </c>
      <c r="D14" s="41"/>
      <c r="E14" s="41"/>
      <c r="F14" s="41"/>
      <c r="G14" s="41"/>
      <c r="H14" s="41"/>
      <c r="I14" s="41"/>
      <c r="J14" s="41"/>
      <c r="K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30"/>
      <c r="DF14" s="271">
        <v>0</v>
      </c>
      <c r="DG14" s="272">
        <v>0</v>
      </c>
      <c r="DH14" s="272">
        <v>0</v>
      </c>
      <c r="DI14" s="272">
        <v>0</v>
      </c>
      <c r="DJ14" s="272">
        <v>0</v>
      </c>
      <c r="DK14" s="272">
        <v>0</v>
      </c>
      <c r="DL14" s="272">
        <v>0</v>
      </c>
      <c r="DM14" s="272">
        <v>0</v>
      </c>
      <c r="DN14" s="272">
        <v>0</v>
      </c>
      <c r="DO14" s="272">
        <v>0</v>
      </c>
      <c r="DP14" s="272">
        <v>0</v>
      </c>
      <c r="DQ14" s="272">
        <v>0</v>
      </c>
      <c r="DR14" s="272">
        <v>0</v>
      </c>
      <c r="DS14" s="272">
        <v>0</v>
      </c>
      <c r="DT14" s="272">
        <v>0</v>
      </c>
      <c r="DU14" s="272">
        <v>0</v>
      </c>
      <c r="DV14" s="272">
        <v>0</v>
      </c>
      <c r="DW14" s="286" t="s">
        <v>342</v>
      </c>
    </row>
    <row r="15" spans="2:127" ht="10.5" hidden="1" outlineLevel="1">
      <c r="B15" s="30"/>
      <c r="C15" s="41" t="s">
        <v>147</v>
      </c>
      <c r="D15" s="41"/>
      <c r="E15" s="41"/>
      <c r="F15" s="41"/>
      <c r="G15" s="41"/>
      <c r="H15" s="41"/>
      <c r="I15" s="41"/>
      <c r="J15" s="41"/>
      <c r="K15" s="4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273">
        <v>0</v>
      </c>
      <c r="DG15" s="274">
        <v>0</v>
      </c>
      <c r="DH15" s="274">
        <v>0</v>
      </c>
      <c r="DI15" s="274">
        <v>0</v>
      </c>
      <c r="DJ15" s="274">
        <v>0</v>
      </c>
      <c r="DK15" s="274">
        <v>0</v>
      </c>
      <c r="DL15" s="274">
        <v>0</v>
      </c>
      <c r="DM15" s="274">
        <v>0</v>
      </c>
      <c r="DN15" s="274">
        <v>0</v>
      </c>
      <c r="DO15" s="274">
        <v>0</v>
      </c>
      <c r="DP15" s="274">
        <v>0</v>
      </c>
      <c r="DQ15" s="274">
        <v>0</v>
      </c>
      <c r="DR15" s="274">
        <v>0</v>
      </c>
      <c r="DS15" s="274">
        <v>0</v>
      </c>
      <c r="DT15" s="274">
        <v>0</v>
      </c>
      <c r="DU15" s="274">
        <v>0</v>
      </c>
      <c r="DV15" s="274">
        <v>0</v>
      </c>
      <c r="DW15" s="283" t="s">
        <v>342</v>
      </c>
    </row>
    <row r="16" spans="2:127" ht="10.5" hidden="1" outlineLevel="1">
      <c r="B16" s="30"/>
      <c r="C16" s="41" t="s">
        <v>149</v>
      </c>
      <c r="D16" s="41"/>
      <c r="E16" s="41"/>
      <c r="F16" s="41"/>
      <c r="G16" s="41"/>
      <c r="H16" s="41"/>
      <c r="I16" s="41"/>
      <c r="J16" s="41"/>
      <c r="K16" s="41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273">
        <v>0</v>
      </c>
      <c r="DG16" s="274">
        <v>0</v>
      </c>
      <c r="DH16" s="274">
        <v>0</v>
      </c>
      <c r="DI16" s="274">
        <v>0</v>
      </c>
      <c r="DJ16" s="274">
        <v>0</v>
      </c>
      <c r="DK16" s="274">
        <v>0</v>
      </c>
      <c r="DL16" s="274">
        <v>0</v>
      </c>
      <c r="DM16" s="274">
        <v>0</v>
      </c>
      <c r="DN16" s="274">
        <v>0</v>
      </c>
      <c r="DO16" s="274">
        <v>0</v>
      </c>
      <c r="DP16" s="274">
        <v>0</v>
      </c>
      <c r="DQ16" s="274">
        <v>0</v>
      </c>
      <c r="DR16" s="274">
        <v>0</v>
      </c>
      <c r="DS16" s="274">
        <v>0</v>
      </c>
      <c r="DT16" s="274">
        <v>0</v>
      </c>
      <c r="DU16" s="274">
        <v>0</v>
      </c>
      <c r="DV16" s="274">
        <v>0</v>
      </c>
      <c r="DW16" s="283" t="s">
        <v>342</v>
      </c>
    </row>
    <row r="17" spans="2:127" ht="10.5" hidden="1" outlineLevel="1">
      <c r="B17" s="30"/>
      <c r="C17" s="41" t="s">
        <v>151</v>
      </c>
      <c r="D17" s="41"/>
      <c r="E17" s="41"/>
      <c r="F17" s="41"/>
      <c r="G17" s="41"/>
      <c r="H17" s="41"/>
      <c r="I17" s="41"/>
      <c r="J17" s="41"/>
      <c r="K17" s="4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273">
        <v>0</v>
      </c>
      <c r="DG17" s="274">
        <v>0</v>
      </c>
      <c r="DH17" s="274">
        <v>0</v>
      </c>
      <c r="DI17" s="274">
        <v>0</v>
      </c>
      <c r="DJ17" s="274">
        <v>0</v>
      </c>
      <c r="DK17" s="274">
        <v>0</v>
      </c>
      <c r="DL17" s="274">
        <v>0</v>
      </c>
      <c r="DM17" s="274">
        <v>0</v>
      </c>
      <c r="DN17" s="274">
        <v>0</v>
      </c>
      <c r="DO17" s="274">
        <v>0</v>
      </c>
      <c r="DP17" s="274">
        <v>0</v>
      </c>
      <c r="DQ17" s="274">
        <v>0</v>
      </c>
      <c r="DR17" s="274">
        <v>0</v>
      </c>
      <c r="DS17" s="274">
        <v>0</v>
      </c>
      <c r="DT17" s="274">
        <v>0</v>
      </c>
      <c r="DU17" s="274">
        <v>0</v>
      </c>
      <c r="DV17" s="274">
        <v>0</v>
      </c>
      <c r="DW17" s="283" t="s">
        <v>342</v>
      </c>
    </row>
    <row r="18" spans="2:127" ht="10.5" hidden="1" outlineLevel="1">
      <c r="B18" s="30"/>
      <c r="C18" s="41" t="s">
        <v>153</v>
      </c>
      <c r="D18" s="41"/>
      <c r="E18" s="41"/>
      <c r="F18" s="41"/>
      <c r="G18" s="41"/>
      <c r="H18" s="41"/>
      <c r="I18" s="41"/>
      <c r="J18" s="41"/>
      <c r="K18" s="4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273">
        <v>0</v>
      </c>
      <c r="DG18" s="274">
        <v>0</v>
      </c>
      <c r="DH18" s="274">
        <v>0</v>
      </c>
      <c r="DI18" s="274">
        <v>0</v>
      </c>
      <c r="DJ18" s="274">
        <v>0</v>
      </c>
      <c r="DK18" s="274">
        <v>0</v>
      </c>
      <c r="DL18" s="274">
        <v>0</v>
      </c>
      <c r="DM18" s="274">
        <v>0</v>
      </c>
      <c r="DN18" s="274">
        <v>0</v>
      </c>
      <c r="DO18" s="274">
        <v>0</v>
      </c>
      <c r="DP18" s="274">
        <v>0</v>
      </c>
      <c r="DQ18" s="274">
        <v>0</v>
      </c>
      <c r="DR18" s="274">
        <v>0</v>
      </c>
      <c r="DS18" s="274">
        <v>0</v>
      </c>
      <c r="DT18" s="274">
        <v>0</v>
      </c>
      <c r="DU18" s="274">
        <v>0</v>
      </c>
      <c r="DV18" s="274">
        <v>0</v>
      </c>
      <c r="DW18" s="283" t="s">
        <v>342</v>
      </c>
    </row>
    <row r="19" spans="2:127" ht="10.5" hidden="1" outlineLevel="1">
      <c r="B19" s="30"/>
      <c r="C19" s="41" t="s">
        <v>155</v>
      </c>
      <c r="D19" s="41"/>
      <c r="E19" s="41"/>
      <c r="F19" s="41"/>
      <c r="G19" s="41"/>
      <c r="H19" s="41"/>
      <c r="I19" s="41"/>
      <c r="J19" s="41"/>
      <c r="K19" s="4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273">
        <v>0</v>
      </c>
      <c r="DG19" s="274">
        <v>0</v>
      </c>
      <c r="DH19" s="274">
        <v>0</v>
      </c>
      <c r="DI19" s="274">
        <v>0</v>
      </c>
      <c r="DJ19" s="274">
        <v>0</v>
      </c>
      <c r="DK19" s="274">
        <v>0</v>
      </c>
      <c r="DL19" s="274">
        <v>0</v>
      </c>
      <c r="DM19" s="274">
        <v>0</v>
      </c>
      <c r="DN19" s="274">
        <v>0</v>
      </c>
      <c r="DO19" s="274">
        <v>0</v>
      </c>
      <c r="DP19" s="274">
        <v>0</v>
      </c>
      <c r="DQ19" s="274">
        <v>0</v>
      </c>
      <c r="DR19" s="274">
        <v>0</v>
      </c>
      <c r="DS19" s="274">
        <v>0</v>
      </c>
      <c r="DT19" s="274">
        <v>0</v>
      </c>
      <c r="DU19" s="274">
        <v>0</v>
      </c>
      <c r="DV19" s="274">
        <v>0</v>
      </c>
      <c r="DW19" s="283" t="s">
        <v>342</v>
      </c>
    </row>
    <row r="20" spans="2:127" ht="10.5" hidden="1" outlineLevel="1">
      <c r="B20" s="30"/>
      <c r="C20" s="41" t="s">
        <v>157</v>
      </c>
      <c r="D20" s="41"/>
      <c r="E20" s="41"/>
      <c r="F20" s="41"/>
      <c r="G20" s="41"/>
      <c r="H20" s="41"/>
      <c r="I20" s="41"/>
      <c r="J20" s="41"/>
      <c r="K20" s="4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273">
        <v>0</v>
      </c>
      <c r="DG20" s="274">
        <v>0</v>
      </c>
      <c r="DH20" s="274">
        <v>0</v>
      </c>
      <c r="DI20" s="274">
        <v>0</v>
      </c>
      <c r="DJ20" s="274">
        <v>0</v>
      </c>
      <c r="DK20" s="274">
        <v>0</v>
      </c>
      <c r="DL20" s="274">
        <v>0</v>
      </c>
      <c r="DM20" s="274">
        <v>0</v>
      </c>
      <c r="DN20" s="274">
        <v>0</v>
      </c>
      <c r="DO20" s="274">
        <v>0</v>
      </c>
      <c r="DP20" s="274">
        <v>0</v>
      </c>
      <c r="DQ20" s="274">
        <v>0</v>
      </c>
      <c r="DR20" s="274">
        <v>0</v>
      </c>
      <c r="DS20" s="274">
        <v>0</v>
      </c>
      <c r="DT20" s="274">
        <v>0</v>
      </c>
      <c r="DU20" s="274">
        <v>0</v>
      </c>
      <c r="DV20" s="274">
        <v>0</v>
      </c>
      <c r="DW20" s="283" t="s">
        <v>342</v>
      </c>
    </row>
    <row r="21" spans="2:127" ht="10.5" hidden="1" outlineLevel="1">
      <c r="B21" s="30"/>
      <c r="C21" s="40" t="s">
        <v>160</v>
      </c>
      <c r="D21" s="40"/>
      <c r="E21" s="40"/>
      <c r="F21" s="40"/>
      <c r="G21" s="40"/>
      <c r="H21" s="40"/>
      <c r="I21" s="40"/>
      <c r="J21" s="40"/>
      <c r="K21" s="40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277">
        <v>0</v>
      </c>
      <c r="DG21" s="278">
        <v>0</v>
      </c>
      <c r="DH21" s="278">
        <v>0</v>
      </c>
      <c r="DI21" s="278">
        <v>0</v>
      </c>
      <c r="DJ21" s="278">
        <v>0</v>
      </c>
      <c r="DK21" s="278">
        <v>0</v>
      </c>
      <c r="DL21" s="278">
        <v>0</v>
      </c>
      <c r="DM21" s="278">
        <v>0</v>
      </c>
      <c r="DN21" s="278">
        <v>0</v>
      </c>
      <c r="DO21" s="278">
        <v>0</v>
      </c>
      <c r="DP21" s="278">
        <v>0</v>
      </c>
      <c r="DQ21" s="278">
        <v>0</v>
      </c>
      <c r="DR21" s="278">
        <v>0</v>
      </c>
      <c r="DS21" s="278">
        <v>0</v>
      </c>
      <c r="DT21" s="278">
        <v>0</v>
      </c>
      <c r="DU21" s="278">
        <v>0</v>
      </c>
      <c r="DV21" s="278">
        <v>0</v>
      </c>
      <c r="DW21" s="294" t="s">
        <v>342</v>
      </c>
    </row>
    <row r="22" spans="1:127" ht="10.5" hidden="1" outlineLevel="1">
      <c r="A22" s="16" t="s">
        <v>144</v>
      </c>
      <c r="B22" s="40">
        <v>2</v>
      </c>
      <c r="C22" s="41" t="s">
        <v>145</v>
      </c>
      <c r="D22" s="41"/>
      <c r="E22" s="41"/>
      <c r="F22" s="41"/>
      <c r="G22" s="41"/>
      <c r="H22" s="41"/>
      <c r="I22" s="41"/>
      <c r="J22" s="41"/>
      <c r="K22" s="41"/>
      <c r="L22" s="4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271">
        <v>0</v>
      </c>
      <c r="DG22" s="272">
        <v>0</v>
      </c>
      <c r="DH22" s="272">
        <v>0</v>
      </c>
      <c r="DI22" s="272">
        <v>0</v>
      </c>
      <c r="DJ22" s="272">
        <v>0</v>
      </c>
      <c r="DK22" s="272">
        <v>0</v>
      </c>
      <c r="DL22" s="272">
        <v>0</v>
      </c>
      <c r="DM22" s="272">
        <v>0</v>
      </c>
      <c r="DN22" s="272">
        <v>0</v>
      </c>
      <c r="DO22" s="272">
        <v>0</v>
      </c>
      <c r="DP22" s="272">
        <v>0</v>
      </c>
      <c r="DQ22" s="272">
        <v>0</v>
      </c>
      <c r="DR22" s="272">
        <v>0</v>
      </c>
      <c r="DS22" s="272">
        <v>0</v>
      </c>
      <c r="DT22" s="272">
        <v>0</v>
      </c>
      <c r="DU22" s="272">
        <v>0</v>
      </c>
      <c r="DV22" s="272">
        <v>0</v>
      </c>
      <c r="DW22" s="286" t="s">
        <v>342</v>
      </c>
    </row>
    <row r="23" spans="2:127" ht="10.5" hidden="1" outlineLevel="1">
      <c r="B23" s="30"/>
      <c r="C23" s="41" t="s">
        <v>147</v>
      </c>
      <c r="D23" s="41"/>
      <c r="E23" s="41"/>
      <c r="F23" s="41"/>
      <c r="G23" s="41"/>
      <c r="H23" s="41"/>
      <c r="I23" s="41"/>
      <c r="J23" s="41"/>
      <c r="K23" s="41"/>
      <c r="L23" s="4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273">
        <v>0</v>
      </c>
      <c r="DG23" s="274">
        <v>0</v>
      </c>
      <c r="DH23" s="274">
        <v>0</v>
      </c>
      <c r="DI23" s="274">
        <v>0</v>
      </c>
      <c r="DJ23" s="274">
        <v>0</v>
      </c>
      <c r="DK23" s="274">
        <v>0</v>
      </c>
      <c r="DL23" s="274">
        <v>0</v>
      </c>
      <c r="DM23" s="274">
        <v>0</v>
      </c>
      <c r="DN23" s="274">
        <v>0</v>
      </c>
      <c r="DO23" s="274">
        <v>0</v>
      </c>
      <c r="DP23" s="274">
        <v>0</v>
      </c>
      <c r="DQ23" s="274">
        <v>0</v>
      </c>
      <c r="DR23" s="274">
        <v>0</v>
      </c>
      <c r="DS23" s="274">
        <v>0</v>
      </c>
      <c r="DT23" s="274">
        <v>0</v>
      </c>
      <c r="DU23" s="274">
        <v>0</v>
      </c>
      <c r="DV23" s="274">
        <v>0</v>
      </c>
      <c r="DW23" s="283" t="s">
        <v>342</v>
      </c>
    </row>
    <row r="24" spans="2:127" ht="10.5" hidden="1" outlineLevel="1">
      <c r="B24" s="30"/>
      <c r="C24" s="41" t="s">
        <v>149</v>
      </c>
      <c r="D24" s="41"/>
      <c r="E24" s="41"/>
      <c r="F24" s="41"/>
      <c r="G24" s="41"/>
      <c r="H24" s="41"/>
      <c r="I24" s="41"/>
      <c r="J24" s="41"/>
      <c r="K24" s="41"/>
      <c r="L24" s="4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273">
        <v>0</v>
      </c>
      <c r="DG24" s="274">
        <v>0</v>
      </c>
      <c r="DH24" s="274">
        <v>0</v>
      </c>
      <c r="DI24" s="274">
        <v>0</v>
      </c>
      <c r="DJ24" s="274">
        <v>0</v>
      </c>
      <c r="DK24" s="274">
        <v>0</v>
      </c>
      <c r="DL24" s="274">
        <v>0</v>
      </c>
      <c r="DM24" s="274">
        <v>0</v>
      </c>
      <c r="DN24" s="274">
        <v>0</v>
      </c>
      <c r="DO24" s="274">
        <v>0</v>
      </c>
      <c r="DP24" s="274">
        <v>0</v>
      </c>
      <c r="DQ24" s="274">
        <v>0</v>
      </c>
      <c r="DR24" s="274">
        <v>0</v>
      </c>
      <c r="DS24" s="274">
        <v>0</v>
      </c>
      <c r="DT24" s="274">
        <v>0</v>
      </c>
      <c r="DU24" s="274">
        <v>0</v>
      </c>
      <c r="DV24" s="274">
        <v>0</v>
      </c>
      <c r="DW24" s="283" t="s">
        <v>342</v>
      </c>
    </row>
    <row r="25" spans="2:127" ht="10.5" hidden="1" outlineLevel="1">
      <c r="B25" s="30"/>
      <c r="C25" s="41" t="s">
        <v>151</v>
      </c>
      <c r="D25" s="41"/>
      <c r="E25" s="41"/>
      <c r="F25" s="41"/>
      <c r="G25" s="41"/>
      <c r="H25" s="41"/>
      <c r="I25" s="41"/>
      <c r="J25" s="41"/>
      <c r="K25" s="41"/>
      <c r="L25" s="4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273">
        <v>0</v>
      </c>
      <c r="DG25" s="274">
        <v>0</v>
      </c>
      <c r="DH25" s="274">
        <v>0</v>
      </c>
      <c r="DI25" s="274">
        <v>0</v>
      </c>
      <c r="DJ25" s="274">
        <v>0</v>
      </c>
      <c r="DK25" s="274">
        <v>0</v>
      </c>
      <c r="DL25" s="274">
        <v>0</v>
      </c>
      <c r="DM25" s="274">
        <v>0</v>
      </c>
      <c r="DN25" s="274">
        <v>0</v>
      </c>
      <c r="DO25" s="274">
        <v>0</v>
      </c>
      <c r="DP25" s="274">
        <v>0</v>
      </c>
      <c r="DQ25" s="274">
        <v>0</v>
      </c>
      <c r="DR25" s="274">
        <v>0</v>
      </c>
      <c r="DS25" s="274">
        <v>0</v>
      </c>
      <c r="DT25" s="274">
        <v>0</v>
      </c>
      <c r="DU25" s="274">
        <v>0</v>
      </c>
      <c r="DV25" s="274">
        <v>0</v>
      </c>
      <c r="DW25" s="283" t="s">
        <v>342</v>
      </c>
    </row>
    <row r="26" spans="2:127" ht="10.5" hidden="1" outlineLevel="1">
      <c r="B26" s="30"/>
      <c r="C26" s="41" t="s">
        <v>153</v>
      </c>
      <c r="D26" s="41"/>
      <c r="E26" s="41"/>
      <c r="F26" s="41"/>
      <c r="G26" s="41"/>
      <c r="H26" s="41"/>
      <c r="I26" s="41"/>
      <c r="J26" s="41"/>
      <c r="K26" s="41"/>
      <c r="L26" s="4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273">
        <v>0</v>
      </c>
      <c r="DG26" s="274">
        <v>0</v>
      </c>
      <c r="DH26" s="274">
        <v>0</v>
      </c>
      <c r="DI26" s="274">
        <v>0</v>
      </c>
      <c r="DJ26" s="274">
        <v>0</v>
      </c>
      <c r="DK26" s="274">
        <v>0</v>
      </c>
      <c r="DL26" s="274">
        <v>0</v>
      </c>
      <c r="DM26" s="274">
        <v>0</v>
      </c>
      <c r="DN26" s="274">
        <v>0</v>
      </c>
      <c r="DO26" s="274">
        <v>0</v>
      </c>
      <c r="DP26" s="274">
        <v>0</v>
      </c>
      <c r="DQ26" s="274">
        <v>0</v>
      </c>
      <c r="DR26" s="274">
        <v>0</v>
      </c>
      <c r="DS26" s="274">
        <v>0</v>
      </c>
      <c r="DT26" s="274">
        <v>0</v>
      </c>
      <c r="DU26" s="274">
        <v>0</v>
      </c>
      <c r="DV26" s="274">
        <v>0</v>
      </c>
      <c r="DW26" s="283" t="s">
        <v>342</v>
      </c>
    </row>
    <row r="27" spans="2:127" ht="10.5" hidden="1" outlineLevel="1">
      <c r="B27" s="30"/>
      <c r="C27" s="41" t="s">
        <v>155</v>
      </c>
      <c r="D27" s="41"/>
      <c r="E27" s="41"/>
      <c r="F27" s="41"/>
      <c r="G27" s="41"/>
      <c r="H27" s="41"/>
      <c r="I27" s="41"/>
      <c r="J27" s="41"/>
      <c r="K27" s="41"/>
      <c r="L27" s="4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273">
        <v>0</v>
      </c>
      <c r="DG27" s="274">
        <v>0</v>
      </c>
      <c r="DH27" s="274">
        <v>0</v>
      </c>
      <c r="DI27" s="274">
        <v>0</v>
      </c>
      <c r="DJ27" s="274">
        <v>0</v>
      </c>
      <c r="DK27" s="274">
        <v>0</v>
      </c>
      <c r="DL27" s="274">
        <v>0</v>
      </c>
      <c r="DM27" s="274">
        <v>0</v>
      </c>
      <c r="DN27" s="274">
        <v>0</v>
      </c>
      <c r="DO27" s="274">
        <v>0</v>
      </c>
      <c r="DP27" s="274">
        <v>0</v>
      </c>
      <c r="DQ27" s="274">
        <v>0</v>
      </c>
      <c r="DR27" s="274">
        <v>0</v>
      </c>
      <c r="DS27" s="274">
        <v>0</v>
      </c>
      <c r="DT27" s="274">
        <v>0</v>
      </c>
      <c r="DU27" s="274">
        <v>0</v>
      </c>
      <c r="DV27" s="274">
        <v>0</v>
      </c>
      <c r="DW27" s="283" t="s">
        <v>342</v>
      </c>
    </row>
    <row r="28" spans="2:127" ht="10.5" hidden="1" outlineLevel="1">
      <c r="B28" s="30"/>
      <c r="C28" s="41" t="s">
        <v>157</v>
      </c>
      <c r="D28" s="41"/>
      <c r="E28" s="41"/>
      <c r="F28" s="41"/>
      <c r="G28" s="41"/>
      <c r="H28" s="41"/>
      <c r="I28" s="41"/>
      <c r="J28" s="41"/>
      <c r="K28" s="41"/>
      <c r="L28" s="4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273">
        <v>0</v>
      </c>
      <c r="DG28" s="274">
        <v>0</v>
      </c>
      <c r="DH28" s="274">
        <v>0</v>
      </c>
      <c r="DI28" s="274">
        <v>0</v>
      </c>
      <c r="DJ28" s="274">
        <v>0</v>
      </c>
      <c r="DK28" s="274">
        <v>0</v>
      </c>
      <c r="DL28" s="274">
        <v>0</v>
      </c>
      <c r="DM28" s="274">
        <v>0</v>
      </c>
      <c r="DN28" s="274">
        <v>0</v>
      </c>
      <c r="DO28" s="274">
        <v>0</v>
      </c>
      <c r="DP28" s="274">
        <v>0</v>
      </c>
      <c r="DQ28" s="274">
        <v>0</v>
      </c>
      <c r="DR28" s="274">
        <v>0</v>
      </c>
      <c r="DS28" s="274">
        <v>0</v>
      </c>
      <c r="DT28" s="274">
        <v>0</v>
      </c>
      <c r="DU28" s="274">
        <v>0</v>
      </c>
      <c r="DV28" s="274">
        <v>0</v>
      </c>
      <c r="DW28" s="283" t="s">
        <v>342</v>
      </c>
    </row>
    <row r="29" spans="2:127" ht="10.5" hidden="1" outlineLevel="1">
      <c r="B29" s="30"/>
      <c r="C29" s="40" t="s">
        <v>160</v>
      </c>
      <c r="D29" s="40"/>
      <c r="E29" s="40"/>
      <c r="F29" s="40"/>
      <c r="G29" s="40"/>
      <c r="H29" s="40"/>
      <c r="I29" s="40"/>
      <c r="J29" s="40"/>
      <c r="K29" s="40"/>
      <c r="L29" s="42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277">
        <v>0</v>
      </c>
      <c r="DG29" s="278">
        <v>0</v>
      </c>
      <c r="DH29" s="278">
        <v>0</v>
      </c>
      <c r="DI29" s="278">
        <v>0</v>
      </c>
      <c r="DJ29" s="278">
        <v>0</v>
      </c>
      <c r="DK29" s="278">
        <v>0</v>
      </c>
      <c r="DL29" s="278">
        <v>0</v>
      </c>
      <c r="DM29" s="278">
        <v>0</v>
      </c>
      <c r="DN29" s="278">
        <v>0</v>
      </c>
      <c r="DO29" s="278">
        <v>0</v>
      </c>
      <c r="DP29" s="278">
        <v>0</v>
      </c>
      <c r="DQ29" s="278">
        <v>0</v>
      </c>
      <c r="DR29" s="278">
        <v>0</v>
      </c>
      <c r="DS29" s="278">
        <v>0</v>
      </c>
      <c r="DT29" s="278">
        <v>0</v>
      </c>
      <c r="DU29" s="278">
        <v>0</v>
      </c>
      <c r="DV29" s="278">
        <v>0</v>
      </c>
      <c r="DW29" s="294" t="s">
        <v>342</v>
      </c>
    </row>
    <row r="30" spans="1:127" ht="10.5" hidden="1" outlineLevel="1">
      <c r="A30" s="16" t="s">
        <v>144</v>
      </c>
      <c r="B30" s="40">
        <v>3</v>
      </c>
      <c r="C30" s="41" t="s">
        <v>145</v>
      </c>
      <c r="D30" s="41"/>
      <c r="E30" s="41"/>
      <c r="F30" s="41"/>
      <c r="G30" s="41"/>
      <c r="H30" s="41"/>
      <c r="I30" s="41"/>
      <c r="J30" s="41"/>
      <c r="K30" s="41"/>
      <c r="L30" s="4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271">
        <v>0</v>
      </c>
      <c r="DG30" s="272">
        <v>0</v>
      </c>
      <c r="DH30" s="272">
        <v>0</v>
      </c>
      <c r="DI30" s="272">
        <v>0</v>
      </c>
      <c r="DJ30" s="272">
        <v>0</v>
      </c>
      <c r="DK30" s="272">
        <v>0</v>
      </c>
      <c r="DL30" s="272">
        <v>0</v>
      </c>
      <c r="DM30" s="272">
        <v>0</v>
      </c>
      <c r="DN30" s="272">
        <v>0</v>
      </c>
      <c r="DO30" s="272">
        <v>0</v>
      </c>
      <c r="DP30" s="272">
        <v>0</v>
      </c>
      <c r="DQ30" s="272">
        <v>0</v>
      </c>
      <c r="DR30" s="272">
        <v>0</v>
      </c>
      <c r="DS30" s="272">
        <v>0</v>
      </c>
      <c r="DT30" s="272">
        <v>0</v>
      </c>
      <c r="DU30" s="272">
        <v>0</v>
      </c>
      <c r="DV30" s="272">
        <v>0</v>
      </c>
      <c r="DW30" s="286" t="s">
        <v>342</v>
      </c>
    </row>
    <row r="31" spans="2:127" ht="10.5" hidden="1" outlineLevel="1">
      <c r="B31" s="30"/>
      <c r="C31" s="41" t="s">
        <v>147</v>
      </c>
      <c r="D31" s="41"/>
      <c r="E31" s="41"/>
      <c r="F31" s="41"/>
      <c r="G31" s="41"/>
      <c r="H31" s="41"/>
      <c r="I31" s="41"/>
      <c r="J31" s="41"/>
      <c r="K31" s="41"/>
      <c r="L31" s="4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273">
        <v>0</v>
      </c>
      <c r="DG31" s="274">
        <v>0</v>
      </c>
      <c r="DH31" s="274">
        <v>0</v>
      </c>
      <c r="DI31" s="274">
        <v>0</v>
      </c>
      <c r="DJ31" s="274">
        <v>0</v>
      </c>
      <c r="DK31" s="274">
        <v>0</v>
      </c>
      <c r="DL31" s="274">
        <v>0</v>
      </c>
      <c r="DM31" s="274">
        <v>0</v>
      </c>
      <c r="DN31" s="274">
        <v>0</v>
      </c>
      <c r="DO31" s="274">
        <v>0</v>
      </c>
      <c r="DP31" s="274">
        <v>0</v>
      </c>
      <c r="DQ31" s="274">
        <v>0</v>
      </c>
      <c r="DR31" s="274">
        <v>0</v>
      </c>
      <c r="DS31" s="274">
        <v>0</v>
      </c>
      <c r="DT31" s="274">
        <v>0</v>
      </c>
      <c r="DU31" s="274">
        <v>0</v>
      </c>
      <c r="DV31" s="274">
        <v>0</v>
      </c>
      <c r="DW31" s="283" t="s">
        <v>342</v>
      </c>
    </row>
    <row r="32" spans="2:127" ht="10.5" hidden="1" outlineLevel="1">
      <c r="B32" s="30"/>
      <c r="C32" s="41" t="s">
        <v>149</v>
      </c>
      <c r="D32" s="41"/>
      <c r="E32" s="41"/>
      <c r="F32" s="41"/>
      <c r="G32" s="41"/>
      <c r="H32" s="41"/>
      <c r="I32" s="41"/>
      <c r="J32" s="41"/>
      <c r="K32" s="41"/>
      <c r="L32" s="43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273">
        <v>0</v>
      </c>
      <c r="DG32" s="274">
        <v>0</v>
      </c>
      <c r="DH32" s="274">
        <v>0</v>
      </c>
      <c r="DI32" s="274">
        <v>0</v>
      </c>
      <c r="DJ32" s="274">
        <v>0</v>
      </c>
      <c r="DK32" s="274">
        <v>0</v>
      </c>
      <c r="DL32" s="274">
        <v>0</v>
      </c>
      <c r="DM32" s="274">
        <v>0</v>
      </c>
      <c r="DN32" s="274">
        <v>0</v>
      </c>
      <c r="DO32" s="274">
        <v>0</v>
      </c>
      <c r="DP32" s="274">
        <v>0</v>
      </c>
      <c r="DQ32" s="274">
        <v>0</v>
      </c>
      <c r="DR32" s="274">
        <v>0</v>
      </c>
      <c r="DS32" s="274">
        <v>0</v>
      </c>
      <c r="DT32" s="274">
        <v>0</v>
      </c>
      <c r="DU32" s="274">
        <v>0</v>
      </c>
      <c r="DV32" s="274">
        <v>0</v>
      </c>
      <c r="DW32" s="283" t="s">
        <v>342</v>
      </c>
    </row>
    <row r="33" spans="2:127" ht="10.5" hidden="1" outlineLevel="1">
      <c r="B33" s="30"/>
      <c r="C33" s="41" t="s">
        <v>151</v>
      </c>
      <c r="D33" s="41"/>
      <c r="E33" s="41"/>
      <c r="F33" s="41"/>
      <c r="G33" s="41"/>
      <c r="H33" s="41"/>
      <c r="I33" s="41"/>
      <c r="J33" s="41"/>
      <c r="K33" s="41"/>
      <c r="L33" s="4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273">
        <v>0</v>
      </c>
      <c r="DG33" s="274">
        <v>0</v>
      </c>
      <c r="DH33" s="274">
        <v>0</v>
      </c>
      <c r="DI33" s="274">
        <v>0</v>
      </c>
      <c r="DJ33" s="274">
        <v>0</v>
      </c>
      <c r="DK33" s="274">
        <v>0</v>
      </c>
      <c r="DL33" s="274">
        <v>0</v>
      </c>
      <c r="DM33" s="274">
        <v>0</v>
      </c>
      <c r="DN33" s="274">
        <v>0</v>
      </c>
      <c r="DO33" s="274">
        <v>0</v>
      </c>
      <c r="DP33" s="274">
        <v>0</v>
      </c>
      <c r="DQ33" s="274">
        <v>0</v>
      </c>
      <c r="DR33" s="274">
        <v>0</v>
      </c>
      <c r="DS33" s="274">
        <v>0</v>
      </c>
      <c r="DT33" s="274">
        <v>0</v>
      </c>
      <c r="DU33" s="274">
        <v>0</v>
      </c>
      <c r="DV33" s="274">
        <v>0</v>
      </c>
      <c r="DW33" s="283" t="s">
        <v>342</v>
      </c>
    </row>
    <row r="34" spans="2:127" ht="10.5" hidden="1" outlineLevel="1">
      <c r="B34" s="30"/>
      <c r="C34" s="41" t="s">
        <v>153</v>
      </c>
      <c r="D34" s="41"/>
      <c r="E34" s="41"/>
      <c r="F34" s="41"/>
      <c r="G34" s="41"/>
      <c r="H34" s="41"/>
      <c r="I34" s="41"/>
      <c r="J34" s="41"/>
      <c r="K34" s="41"/>
      <c r="L34" s="4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273">
        <v>0</v>
      </c>
      <c r="DG34" s="274">
        <v>0</v>
      </c>
      <c r="DH34" s="274">
        <v>0</v>
      </c>
      <c r="DI34" s="274">
        <v>0</v>
      </c>
      <c r="DJ34" s="274">
        <v>0</v>
      </c>
      <c r="DK34" s="274">
        <v>0</v>
      </c>
      <c r="DL34" s="274">
        <v>0</v>
      </c>
      <c r="DM34" s="274">
        <v>0</v>
      </c>
      <c r="DN34" s="274">
        <v>0</v>
      </c>
      <c r="DO34" s="274">
        <v>0</v>
      </c>
      <c r="DP34" s="274">
        <v>0</v>
      </c>
      <c r="DQ34" s="274">
        <v>0</v>
      </c>
      <c r="DR34" s="274">
        <v>0</v>
      </c>
      <c r="DS34" s="274">
        <v>0</v>
      </c>
      <c r="DT34" s="274">
        <v>0</v>
      </c>
      <c r="DU34" s="274">
        <v>0</v>
      </c>
      <c r="DV34" s="274">
        <v>0</v>
      </c>
      <c r="DW34" s="283" t="s">
        <v>342</v>
      </c>
    </row>
    <row r="35" spans="2:127" ht="10.5" hidden="1" outlineLevel="1">
      <c r="B35" s="30"/>
      <c r="C35" s="41" t="s">
        <v>155</v>
      </c>
      <c r="D35" s="41"/>
      <c r="E35" s="41"/>
      <c r="F35" s="41"/>
      <c r="G35" s="41"/>
      <c r="H35" s="41"/>
      <c r="I35" s="41"/>
      <c r="J35" s="41"/>
      <c r="K35" s="41"/>
      <c r="L35" s="43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273">
        <v>0</v>
      </c>
      <c r="DG35" s="274">
        <v>0</v>
      </c>
      <c r="DH35" s="274">
        <v>0</v>
      </c>
      <c r="DI35" s="274">
        <v>0</v>
      </c>
      <c r="DJ35" s="274">
        <v>0</v>
      </c>
      <c r="DK35" s="274">
        <v>0</v>
      </c>
      <c r="DL35" s="274">
        <v>0</v>
      </c>
      <c r="DM35" s="274">
        <v>0</v>
      </c>
      <c r="DN35" s="274">
        <v>0</v>
      </c>
      <c r="DO35" s="274">
        <v>0</v>
      </c>
      <c r="DP35" s="274">
        <v>0</v>
      </c>
      <c r="DQ35" s="274">
        <v>0</v>
      </c>
      <c r="DR35" s="274">
        <v>0</v>
      </c>
      <c r="DS35" s="274">
        <v>0</v>
      </c>
      <c r="DT35" s="274">
        <v>0</v>
      </c>
      <c r="DU35" s="274">
        <v>0</v>
      </c>
      <c r="DV35" s="274">
        <v>0</v>
      </c>
      <c r="DW35" s="283" t="s">
        <v>342</v>
      </c>
    </row>
    <row r="36" spans="2:127" ht="10.5" hidden="1" outlineLevel="1">
      <c r="B36" s="30"/>
      <c r="C36" s="41" t="s">
        <v>157</v>
      </c>
      <c r="D36" s="41"/>
      <c r="E36" s="41"/>
      <c r="F36" s="41"/>
      <c r="G36" s="41"/>
      <c r="H36" s="41"/>
      <c r="I36" s="41"/>
      <c r="J36" s="41"/>
      <c r="K36" s="41"/>
      <c r="L36" s="43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273">
        <v>0</v>
      </c>
      <c r="DG36" s="274">
        <v>0</v>
      </c>
      <c r="DH36" s="274">
        <v>0</v>
      </c>
      <c r="DI36" s="274">
        <v>0</v>
      </c>
      <c r="DJ36" s="274">
        <v>0</v>
      </c>
      <c r="DK36" s="274">
        <v>0</v>
      </c>
      <c r="DL36" s="274">
        <v>0</v>
      </c>
      <c r="DM36" s="274">
        <v>0</v>
      </c>
      <c r="DN36" s="274">
        <v>0</v>
      </c>
      <c r="DO36" s="274">
        <v>0</v>
      </c>
      <c r="DP36" s="274">
        <v>0</v>
      </c>
      <c r="DQ36" s="274">
        <v>0</v>
      </c>
      <c r="DR36" s="274">
        <v>0</v>
      </c>
      <c r="DS36" s="274">
        <v>0</v>
      </c>
      <c r="DT36" s="274">
        <v>0</v>
      </c>
      <c r="DU36" s="274">
        <v>0</v>
      </c>
      <c r="DV36" s="274">
        <v>0</v>
      </c>
      <c r="DW36" s="283" t="s">
        <v>342</v>
      </c>
    </row>
    <row r="37" spans="2:127" ht="10.5" hidden="1" outlineLevel="1">
      <c r="B37" s="30"/>
      <c r="C37" s="40" t="s">
        <v>160</v>
      </c>
      <c r="D37" s="40"/>
      <c r="E37" s="40"/>
      <c r="F37" s="40"/>
      <c r="G37" s="40"/>
      <c r="H37" s="40"/>
      <c r="I37" s="40"/>
      <c r="J37" s="40"/>
      <c r="K37" s="40"/>
      <c r="L37" s="4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277">
        <v>0</v>
      </c>
      <c r="DG37" s="278">
        <v>0</v>
      </c>
      <c r="DH37" s="278">
        <v>0</v>
      </c>
      <c r="DI37" s="278">
        <v>0</v>
      </c>
      <c r="DJ37" s="278">
        <v>0</v>
      </c>
      <c r="DK37" s="278">
        <v>0</v>
      </c>
      <c r="DL37" s="278">
        <v>0</v>
      </c>
      <c r="DM37" s="278">
        <v>0</v>
      </c>
      <c r="DN37" s="278">
        <v>0</v>
      </c>
      <c r="DO37" s="278">
        <v>0</v>
      </c>
      <c r="DP37" s="278">
        <v>0</v>
      </c>
      <c r="DQ37" s="278">
        <v>0</v>
      </c>
      <c r="DR37" s="278">
        <v>0</v>
      </c>
      <c r="DS37" s="278">
        <v>0</v>
      </c>
      <c r="DT37" s="278">
        <v>0</v>
      </c>
      <c r="DU37" s="278">
        <v>0</v>
      </c>
      <c r="DV37" s="278">
        <v>0</v>
      </c>
      <c r="DW37" s="294" t="s">
        <v>342</v>
      </c>
    </row>
    <row r="38" spans="1:127" ht="10.5" hidden="1" outlineLevel="1">
      <c r="A38" s="16" t="s">
        <v>144</v>
      </c>
      <c r="B38" s="40">
        <v>4</v>
      </c>
      <c r="C38" s="41" t="s">
        <v>145</v>
      </c>
      <c r="D38" s="41"/>
      <c r="E38" s="41"/>
      <c r="F38" s="41"/>
      <c r="G38" s="41"/>
      <c r="H38" s="41"/>
      <c r="I38" s="41"/>
      <c r="J38" s="41"/>
      <c r="K38" s="41"/>
      <c r="L38" s="4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271">
        <v>0</v>
      </c>
      <c r="DG38" s="272">
        <v>0</v>
      </c>
      <c r="DH38" s="272">
        <v>0</v>
      </c>
      <c r="DI38" s="272">
        <v>0</v>
      </c>
      <c r="DJ38" s="272">
        <v>0</v>
      </c>
      <c r="DK38" s="272">
        <v>0</v>
      </c>
      <c r="DL38" s="272">
        <v>0</v>
      </c>
      <c r="DM38" s="272">
        <v>0</v>
      </c>
      <c r="DN38" s="272">
        <v>0</v>
      </c>
      <c r="DO38" s="272">
        <v>0</v>
      </c>
      <c r="DP38" s="272">
        <v>0</v>
      </c>
      <c r="DQ38" s="272">
        <v>0</v>
      </c>
      <c r="DR38" s="272">
        <v>0</v>
      </c>
      <c r="DS38" s="272">
        <v>0</v>
      </c>
      <c r="DT38" s="272">
        <v>0</v>
      </c>
      <c r="DU38" s="272">
        <v>0</v>
      </c>
      <c r="DV38" s="272">
        <v>0</v>
      </c>
      <c r="DW38" s="286" t="s">
        <v>342</v>
      </c>
    </row>
    <row r="39" spans="2:127" ht="10.5" hidden="1" outlineLevel="1">
      <c r="B39" s="30"/>
      <c r="C39" s="41" t="s">
        <v>147</v>
      </c>
      <c r="D39" s="41"/>
      <c r="E39" s="41"/>
      <c r="F39" s="41"/>
      <c r="G39" s="41"/>
      <c r="H39" s="41"/>
      <c r="I39" s="41"/>
      <c r="J39" s="41"/>
      <c r="K39" s="41"/>
      <c r="L39" s="4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273">
        <v>0</v>
      </c>
      <c r="DG39" s="274">
        <v>0</v>
      </c>
      <c r="DH39" s="274">
        <v>0</v>
      </c>
      <c r="DI39" s="274">
        <v>0</v>
      </c>
      <c r="DJ39" s="274">
        <v>0</v>
      </c>
      <c r="DK39" s="274">
        <v>0</v>
      </c>
      <c r="DL39" s="274">
        <v>0</v>
      </c>
      <c r="DM39" s="274">
        <v>0</v>
      </c>
      <c r="DN39" s="274">
        <v>0</v>
      </c>
      <c r="DO39" s="274">
        <v>0</v>
      </c>
      <c r="DP39" s="274">
        <v>0</v>
      </c>
      <c r="DQ39" s="274">
        <v>0</v>
      </c>
      <c r="DR39" s="274">
        <v>0</v>
      </c>
      <c r="DS39" s="274">
        <v>0</v>
      </c>
      <c r="DT39" s="274">
        <v>0</v>
      </c>
      <c r="DU39" s="274">
        <v>0</v>
      </c>
      <c r="DV39" s="274">
        <v>0</v>
      </c>
      <c r="DW39" s="283" t="s">
        <v>342</v>
      </c>
    </row>
    <row r="40" spans="2:127" ht="10.5" hidden="1" outlineLevel="1">
      <c r="B40" s="30"/>
      <c r="C40" s="41" t="s">
        <v>149</v>
      </c>
      <c r="D40" s="41"/>
      <c r="E40" s="41"/>
      <c r="F40" s="41"/>
      <c r="G40" s="41"/>
      <c r="H40" s="41"/>
      <c r="I40" s="41"/>
      <c r="J40" s="41"/>
      <c r="K40" s="41"/>
      <c r="L40" s="4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273">
        <v>0</v>
      </c>
      <c r="DG40" s="274">
        <v>0</v>
      </c>
      <c r="DH40" s="274">
        <v>0</v>
      </c>
      <c r="DI40" s="274">
        <v>0</v>
      </c>
      <c r="DJ40" s="274">
        <v>0</v>
      </c>
      <c r="DK40" s="274">
        <v>0</v>
      </c>
      <c r="DL40" s="274">
        <v>0</v>
      </c>
      <c r="DM40" s="274">
        <v>0</v>
      </c>
      <c r="DN40" s="274">
        <v>0</v>
      </c>
      <c r="DO40" s="274">
        <v>0</v>
      </c>
      <c r="DP40" s="274">
        <v>0</v>
      </c>
      <c r="DQ40" s="274">
        <v>0</v>
      </c>
      <c r="DR40" s="274">
        <v>0</v>
      </c>
      <c r="DS40" s="274">
        <v>0</v>
      </c>
      <c r="DT40" s="274">
        <v>0</v>
      </c>
      <c r="DU40" s="274">
        <v>0</v>
      </c>
      <c r="DV40" s="274">
        <v>0</v>
      </c>
      <c r="DW40" s="283" t="s">
        <v>342</v>
      </c>
    </row>
    <row r="41" spans="2:127" ht="10.5" hidden="1" outlineLevel="1">
      <c r="B41" s="30"/>
      <c r="C41" s="41" t="s">
        <v>151</v>
      </c>
      <c r="D41" s="41"/>
      <c r="E41" s="41"/>
      <c r="F41" s="41"/>
      <c r="G41" s="41"/>
      <c r="H41" s="41"/>
      <c r="I41" s="41"/>
      <c r="J41" s="41"/>
      <c r="K41" s="41"/>
      <c r="L41" s="4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273">
        <v>0</v>
      </c>
      <c r="DG41" s="274">
        <v>0</v>
      </c>
      <c r="DH41" s="274">
        <v>0</v>
      </c>
      <c r="DI41" s="274">
        <v>0</v>
      </c>
      <c r="DJ41" s="274">
        <v>0</v>
      </c>
      <c r="DK41" s="274">
        <v>0</v>
      </c>
      <c r="DL41" s="274">
        <v>0</v>
      </c>
      <c r="DM41" s="274">
        <v>0</v>
      </c>
      <c r="DN41" s="274">
        <v>0</v>
      </c>
      <c r="DO41" s="274">
        <v>0</v>
      </c>
      <c r="DP41" s="274">
        <v>0</v>
      </c>
      <c r="DQ41" s="274">
        <v>0</v>
      </c>
      <c r="DR41" s="274">
        <v>0</v>
      </c>
      <c r="DS41" s="274">
        <v>0</v>
      </c>
      <c r="DT41" s="274">
        <v>0</v>
      </c>
      <c r="DU41" s="274">
        <v>0</v>
      </c>
      <c r="DV41" s="274">
        <v>0</v>
      </c>
      <c r="DW41" s="283" t="s">
        <v>342</v>
      </c>
    </row>
    <row r="42" spans="2:127" ht="10.5" hidden="1" outlineLevel="1">
      <c r="B42" s="30"/>
      <c r="C42" s="41" t="s">
        <v>153</v>
      </c>
      <c r="D42" s="41"/>
      <c r="E42" s="41"/>
      <c r="F42" s="41"/>
      <c r="G42" s="41"/>
      <c r="H42" s="41"/>
      <c r="I42" s="41"/>
      <c r="J42" s="41"/>
      <c r="K42" s="41"/>
      <c r="L42" s="4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273">
        <v>0</v>
      </c>
      <c r="DG42" s="274">
        <v>0</v>
      </c>
      <c r="DH42" s="274">
        <v>0</v>
      </c>
      <c r="DI42" s="274">
        <v>0</v>
      </c>
      <c r="DJ42" s="274">
        <v>0</v>
      </c>
      <c r="DK42" s="274">
        <v>0</v>
      </c>
      <c r="DL42" s="274">
        <v>0</v>
      </c>
      <c r="DM42" s="274">
        <v>0</v>
      </c>
      <c r="DN42" s="274">
        <v>0</v>
      </c>
      <c r="DO42" s="274">
        <v>0</v>
      </c>
      <c r="DP42" s="274">
        <v>0</v>
      </c>
      <c r="DQ42" s="274">
        <v>0</v>
      </c>
      <c r="DR42" s="274">
        <v>0</v>
      </c>
      <c r="DS42" s="274">
        <v>0</v>
      </c>
      <c r="DT42" s="274">
        <v>0</v>
      </c>
      <c r="DU42" s="274">
        <v>0</v>
      </c>
      <c r="DV42" s="274">
        <v>0</v>
      </c>
      <c r="DW42" s="283" t="s">
        <v>342</v>
      </c>
    </row>
    <row r="43" spans="2:127" ht="10.5" hidden="1" outlineLevel="1">
      <c r="B43" s="30"/>
      <c r="C43" s="41" t="s">
        <v>155</v>
      </c>
      <c r="D43" s="41"/>
      <c r="E43" s="41"/>
      <c r="F43" s="41"/>
      <c r="G43" s="41"/>
      <c r="H43" s="41"/>
      <c r="I43" s="41"/>
      <c r="J43" s="41"/>
      <c r="K43" s="41"/>
      <c r="L43" s="4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273">
        <v>0</v>
      </c>
      <c r="DG43" s="274">
        <v>0</v>
      </c>
      <c r="DH43" s="274">
        <v>0</v>
      </c>
      <c r="DI43" s="274">
        <v>0</v>
      </c>
      <c r="DJ43" s="274">
        <v>0</v>
      </c>
      <c r="DK43" s="274">
        <v>0</v>
      </c>
      <c r="DL43" s="274">
        <v>0</v>
      </c>
      <c r="DM43" s="274">
        <v>0</v>
      </c>
      <c r="DN43" s="274">
        <v>0</v>
      </c>
      <c r="DO43" s="274">
        <v>0</v>
      </c>
      <c r="DP43" s="274">
        <v>0</v>
      </c>
      <c r="DQ43" s="274">
        <v>0</v>
      </c>
      <c r="DR43" s="274">
        <v>0</v>
      </c>
      <c r="DS43" s="274">
        <v>0</v>
      </c>
      <c r="DT43" s="274">
        <v>0</v>
      </c>
      <c r="DU43" s="274">
        <v>0</v>
      </c>
      <c r="DV43" s="274">
        <v>0</v>
      </c>
      <c r="DW43" s="283" t="s">
        <v>342</v>
      </c>
    </row>
    <row r="44" spans="2:127" ht="10.5" hidden="1" outlineLevel="1">
      <c r="B44" s="30"/>
      <c r="C44" s="41" t="s">
        <v>157</v>
      </c>
      <c r="D44" s="41"/>
      <c r="E44" s="41"/>
      <c r="F44" s="41"/>
      <c r="G44" s="41"/>
      <c r="H44" s="41"/>
      <c r="I44" s="41"/>
      <c r="J44" s="41"/>
      <c r="K44" s="41"/>
      <c r="L44" s="43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273">
        <v>0</v>
      </c>
      <c r="DG44" s="274">
        <v>0</v>
      </c>
      <c r="DH44" s="274">
        <v>0</v>
      </c>
      <c r="DI44" s="274">
        <v>0</v>
      </c>
      <c r="DJ44" s="274">
        <v>0</v>
      </c>
      <c r="DK44" s="274">
        <v>0</v>
      </c>
      <c r="DL44" s="274">
        <v>0</v>
      </c>
      <c r="DM44" s="274">
        <v>0</v>
      </c>
      <c r="DN44" s="274">
        <v>0</v>
      </c>
      <c r="DO44" s="274">
        <v>0</v>
      </c>
      <c r="DP44" s="274">
        <v>0</v>
      </c>
      <c r="DQ44" s="274">
        <v>0</v>
      </c>
      <c r="DR44" s="274">
        <v>0</v>
      </c>
      <c r="DS44" s="274">
        <v>0</v>
      </c>
      <c r="DT44" s="274">
        <v>0</v>
      </c>
      <c r="DU44" s="274">
        <v>0</v>
      </c>
      <c r="DV44" s="274">
        <v>0</v>
      </c>
      <c r="DW44" s="283" t="s">
        <v>342</v>
      </c>
    </row>
    <row r="45" spans="2:127" ht="10.5" hidden="1" outlineLevel="1">
      <c r="B45" s="30"/>
      <c r="C45" s="40" t="s">
        <v>160</v>
      </c>
      <c r="D45" s="40"/>
      <c r="E45" s="40"/>
      <c r="F45" s="40"/>
      <c r="G45" s="40"/>
      <c r="H45" s="40"/>
      <c r="I45" s="40"/>
      <c r="J45" s="40"/>
      <c r="K45" s="40"/>
      <c r="L45" s="42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277">
        <v>0</v>
      </c>
      <c r="DG45" s="278">
        <v>0</v>
      </c>
      <c r="DH45" s="278">
        <v>0</v>
      </c>
      <c r="DI45" s="278">
        <v>0</v>
      </c>
      <c r="DJ45" s="278">
        <v>0</v>
      </c>
      <c r="DK45" s="278">
        <v>0</v>
      </c>
      <c r="DL45" s="278">
        <v>0</v>
      </c>
      <c r="DM45" s="278">
        <v>0</v>
      </c>
      <c r="DN45" s="278">
        <v>0</v>
      </c>
      <c r="DO45" s="278">
        <v>0</v>
      </c>
      <c r="DP45" s="278">
        <v>0</v>
      </c>
      <c r="DQ45" s="278">
        <v>0</v>
      </c>
      <c r="DR45" s="278">
        <v>0</v>
      </c>
      <c r="DS45" s="278">
        <v>0</v>
      </c>
      <c r="DT45" s="278">
        <v>0</v>
      </c>
      <c r="DU45" s="278">
        <v>0</v>
      </c>
      <c r="DV45" s="278">
        <v>0</v>
      </c>
      <c r="DW45" s="294" t="s">
        <v>342</v>
      </c>
    </row>
    <row r="46" spans="1:127" ht="10.5" hidden="1" outlineLevel="1">
      <c r="A46" s="16" t="s">
        <v>144</v>
      </c>
      <c r="B46" s="40">
        <v>5</v>
      </c>
      <c r="C46" s="41" t="s">
        <v>145</v>
      </c>
      <c r="D46" s="41"/>
      <c r="E46" s="41"/>
      <c r="F46" s="41"/>
      <c r="G46" s="41"/>
      <c r="H46" s="41"/>
      <c r="I46" s="41"/>
      <c r="J46" s="41"/>
      <c r="K46" s="41"/>
      <c r="L46" s="43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271">
        <v>0</v>
      </c>
      <c r="DG46" s="272">
        <v>0</v>
      </c>
      <c r="DH46" s="272">
        <v>0</v>
      </c>
      <c r="DI46" s="272">
        <v>0</v>
      </c>
      <c r="DJ46" s="272">
        <v>0</v>
      </c>
      <c r="DK46" s="272">
        <v>0</v>
      </c>
      <c r="DL46" s="272">
        <v>0</v>
      </c>
      <c r="DM46" s="272">
        <v>0</v>
      </c>
      <c r="DN46" s="272">
        <v>0</v>
      </c>
      <c r="DO46" s="272">
        <v>0</v>
      </c>
      <c r="DP46" s="272">
        <v>0</v>
      </c>
      <c r="DQ46" s="272">
        <v>0</v>
      </c>
      <c r="DR46" s="272">
        <v>0</v>
      </c>
      <c r="DS46" s="272">
        <v>0</v>
      </c>
      <c r="DT46" s="272">
        <v>0</v>
      </c>
      <c r="DU46" s="272">
        <v>0</v>
      </c>
      <c r="DV46" s="272">
        <v>0</v>
      </c>
      <c r="DW46" s="286" t="s">
        <v>342</v>
      </c>
    </row>
    <row r="47" spans="2:127" ht="10.5" hidden="1" outlineLevel="1">
      <c r="B47" s="30"/>
      <c r="C47" s="41" t="s">
        <v>147</v>
      </c>
      <c r="D47" s="41"/>
      <c r="E47" s="41"/>
      <c r="F47" s="41"/>
      <c r="G47" s="41"/>
      <c r="H47" s="41"/>
      <c r="I47" s="41"/>
      <c r="J47" s="41"/>
      <c r="K47" s="41"/>
      <c r="L47" s="43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273">
        <v>0</v>
      </c>
      <c r="DG47" s="274">
        <v>0</v>
      </c>
      <c r="DH47" s="274">
        <v>0</v>
      </c>
      <c r="DI47" s="274">
        <v>0</v>
      </c>
      <c r="DJ47" s="274">
        <v>0</v>
      </c>
      <c r="DK47" s="274">
        <v>0</v>
      </c>
      <c r="DL47" s="274">
        <v>0</v>
      </c>
      <c r="DM47" s="274">
        <v>0</v>
      </c>
      <c r="DN47" s="274">
        <v>0</v>
      </c>
      <c r="DO47" s="274">
        <v>0</v>
      </c>
      <c r="DP47" s="274">
        <v>0</v>
      </c>
      <c r="DQ47" s="274">
        <v>0</v>
      </c>
      <c r="DR47" s="274">
        <v>0</v>
      </c>
      <c r="DS47" s="274">
        <v>0</v>
      </c>
      <c r="DT47" s="274">
        <v>0</v>
      </c>
      <c r="DU47" s="274">
        <v>0</v>
      </c>
      <c r="DV47" s="274">
        <v>0</v>
      </c>
      <c r="DW47" s="283" t="s">
        <v>342</v>
      </c>
    </row>
    <row r="48" spans="2:127" ht="10.5" hidden="1" outlineLevel="1">
      <c r="B48" s="30"/>
      <c r="C48" s="41" t="s">
        <v>149</v>
      </c>
      <c r="D48" s="41"/>
      <c r="E48" s="41"/>
      <c r="F48" s="41"/>
      <c r="G48" s="41"/>
      <c r="H48" s="41"/>
      <c r="I48" s="41"/>
      <c r="J48" s="41"/>
      <c r="K48" s="41"/>
      <c r="L48" s="43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273">
        <v>0</v>
      </c>
      <c r="DG48" s="274">
        <v>0</v>
      </c>
      <c r="DH48" s="274">
        <v>0</v>
      </c>
      <c r="DI48" s="274">
        <v>0</v>
      </c>
      <c r="DJ48" s="274">
        <v>0</v>
      </c>
      <c r="DK48" s="274">
        <v>0</v>
      </c>
      <c r="DL48" s="274">
        <v>0</v>
      </c>
      <c r="DM48" s="274">
        <v>0</v>
      </c>
      <c r="DN48" s="274">
        <v>0</v>
      </c>
      <c r="DO48" s="274">
        <v>0</v>
      </c>
      <c r="DP48" s="274">
        <v>0</v>
      </c>
      <c r="DQ48" s="274">
        <v>0</v>
      </c>
      <c r="DR48" s="274">
        <v>0</v>
      </c>
      <c r="DS48" s="274">
        <v>0</v>
      </c>
      <c r="DT48" s="274">
        <v>0</v>
      </c>
      <c r="DU48" s="274">
        <v>0</v>
      </c>
      <c r="DV48" s="274">
        <v>0</v>
      </c>
      <c r="DW48" s="283" t="s">
        <v>342</v>
      </c>
    </row>
    <row r="49" spans="2:127" ht="10.5" hidden="1" outlineLevel="1">
      <c r="B49" s="30"/>
      <c r="C49" s="41" t="s">
        <v>151</v>
      </c>
      <c r="D49" s="41"/>
      <c r="E49" s="41"/>
      <c r="F49" s="41"/>
      <c r="G49" s="41"/>
      <c r="H49" s="41"/>
      <c r="I49" s="41"/>
      <c r="J49" s="41"/>
      <c r="K49" s="41"/>
      <c r="L49" s="4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273">
        <v>0</v>
      </c>
      <c r="DG49" s="274">
        <v>0</v>
      </c>
      <c r="DH49" s="274">
        <v>0</v>
      </c>
      <c r="DI49" s="274">
        <v>0</v>
      </c>
      <c r="DJ49" s="274">
        <v>0</v>
      </c>
      <c r="DK49" s="274">
        <v>0</v>
      </c>
      <c r="DL49" s="274">
        <v>0</v>
      </c>
      <c r="DM49" s="274">
        <v>0</v>
      </c>
      <c r="DN49" s="274">
        <v>0</v>
      </c>
      <c r="DO49" s="274">
        <v>0</v>
      </c>
      <c r="DP49" s="274">
        <v>0</v>
      </c>
      <c r="DQ49" s="274">
        <v>0</v>
      </c>
      <c r="DR49" s="274">
        <v>0</v>
      </c>
      <c r="DS49" s="274">
        <v>0</v>
      </c>
      <c r="DT49" s="274">
        <v>0</v>
      </c>
      <c r="DU49" s="274">
        <v>0</v>
      </c>
      <c r="DV49" s="274">
        <v>0</v>
      </c>
      <c r="DW49" s="283" t="s">
        <v>342</v>
      </c>
    </row>
    <row r="50" spans="2:127" ht="10.5" hidden="1" outlineLevel="1">
      <c r="B50" s="30"/>
      <c r="C50" s="41" t="s">
        <v>153</v>
      </c>
      <c r="D50" s="41"/>
      <c r="E50" s="41"/>
      <c r="F50" s="41"/>
      <c r="G50" s="41"/>
      <c r="H50" s="41"/>
      <c r="I50" s="41"/>
      <c r="J50" s="41"/>
      <c r="K50" s="41"/>
      <c r="L50" s="4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273">
        <v>0</v>
      </c>
      <c r="DG50" s="274">
        <v>0</v>
      </c>
      <c r="DH50" s="274">
        <v>0</v>
      </c>
      <c r="DI50" s="274">
        <v>0</v>
      </c>
      <c r="DJ50" s="274">
        <v>0</v>
      </c>
      <c r="DK50" s="274">
        <v>0</v>
      </c>
      <c r="DL50" s="274">
        <v>0</v>
      </c>
      <c r="DM50" s="274">
        <v>0</v>
      </c>
      <c r="DN50" s="274">
        <v>0</v>
      </c>
      <c r="DO50" s="274">
        <v>0</v>
      </c>
      <c r="DP50" s="274">
        <v>0</v>
      </c>
      <c r="DQ50" s="274">
        <v>0</v>
      </c>
      <c r="DR50" s="274">
        <v>0</v>
      </c>
      <c r="DS50" s="274">
        <v>0</v>
      </c>
      <c r="DT50" s="274">
        <v>0</v>
      </c>
      <c r="DU50" s="274">
        <v>0</v>
      </c>
      <c r="DV50" s="274">
        <v>0</v>
      </c>
      <c r="DW50" s="283" t="s">
        <v>342</v>
      </c>
    </row>
    <row r="51" spans="2:127" ht="10.5" hidden="1" outlineLevel="1">
      <c r="B51" s="30"/>
      <c r="C51" s="41" t="s">
        <v>155</v>
      </c>
      <c r="D51" s="41"/>
      <c r="E51" s="41"/>
      <c r="F51" s="41"/>
      <c r="G51" s="41"/>
      <c r="H51" s="41"/>
      <c r="I51" s="41"/>
      <c r="J51" s="41"/>
      <c r="K51" s="41"/>
      <c r="L51" s="43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273">
        <v>0</v>
      </c>
      <c r="DG51" s="274">
        <v>0</v>
      </c>
      <c r="DH51" s="274">
        <v>0</v>
      </c>
      <c r="DI51" s="274">
        <v>0</v>
      </c>
      <c r="DJ51" s="274">
        <v>0</v>
      </c>
      <c r="DK51" s="274">
        <v>0</v>
      </c>
      <c r="DL51" s="274">
        <v>0</v>
      </c>
      <c r="DM51" s="274">
        <v>0</v>
      </c>
      <c r="DN51" s="274">
        <v>0</v>
      </c>
      <c r="DO51" s="274">
        <v>0</v>
      </c>
      <c r="DP51" s="274">
        <v>0</v>
      </c>
      <c r="DQ51" s="274">
        <v>0</v>
      </c>
      <c r="DR51" s="274">
        <v>0</v>
      </c>
      <c r="DS51" s="274">
        <v>0</v>
      </c>
      <c r="DT51" s="274">
        <v>0</v>
      </c>
      <c r="DU51" s="274">
        <v>0</v>
      </c>
      <c r="DV51" s="274">
        <v>0</v>
      </c>
      <c r="DW51" s="283" t="s">
        <v>342</v>
      </c>
    </row>
    <row r="52" spans="2:127" ht="10.5" hidden="1" outlineLevel="1">
      <c r="B52" s="30"/>
      <c r="C52" s="41" t="s">
        <v>157</v>
      </c>
      <c r="D52" s="41"/>
      <c r="E52" s="41"/>
      <c r="F52" s="41"/>
      <c r="G52" s="41"/>
      <c r="H52" s="41"/>
      <c r="I52" s="41"/>
      <c r="J52" s="41"/>
      <c r="K52" s="41"/>
      <c r="L52" s="43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273">
        <v>0</v>
      </c>
      <c r="DG52" s="274">
        <v>0</v>
      </c>
      <c r="DH52" s="274">
        <v>0</v>
      </c>
      <c r="DI52" s="274">
        <v>0</v>
      </c>
      <c r="DJ52" s="274">
        <v>0</v>
      </c>
      <c r="DK52" s="274">
        <v>0</v>
      </c>
      <c r="DL52" s="274">
        <v>0</v>
      </c>
      <c r="DM52" s="274">
        <v>0</v>
      </c>
      <c r="DN52" s="274">
        <v>0</v>
      </c>
      <c r="DO52" s="274">
        <v>0</v>
      </c>
      <c r="DP52" s="274">
        <v>0</v>
      </c>
      <c r="DQ52" s="274">
        <v>0</v>
      </c>
      <c r="DR52" s="274">
        <v>0</v>
      </c>
      <c r="DS52" s="274">
        <v>0</v>
      </c>
      <c r="DT52" s="274">
        <v>0</v>
      </c>
      <c r="DU52" s="274">
        <v>0</v>
      </c>
      <c r="DV52" s="274">
        <v>0</v>
      </c>
      <c r="DW52" s="283" t="s">
        <v>342</v>
      </c>
    </row>
    <row r="53" spans="2:127" ht="10.5" hidden="1" outlineLevel="1">
      <c r="B53" s="30"/>
      <c r="C53" s="40" t="s">
        <v>160</v>
      </c>
      <c r="D53" s="40"/>
      <c r="E53" s="40"/>
      <c r="F53" s="40"/>
      <c r="G53" s="40"/>
      <c r="H53" s="40"/>
      <c r="I53" s="40"/>
      <c r="J53" s="40"/>
      <c r="K53" s="40"/>
      <c r="L53" s="42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277">
        <v>0</v>
      </c>
      <c r="DG53" s="278">
        <v>0</v>
      </c>
      <c r="DH53" s="278">
        <v>0</v>
      </c>
      <c r="DI53" s="278">
        <v>0</v>
      </c>
      <c r="DJ53" s="278">
        <v>0</v>
      </c>
      <c r="DK53" s="278">
        <v>0</v>
      </c>
      <c r="DL53" s="278">
        <v>0</v>
      </c>
      <c r="DM53" s="278">
        <v>0</v>
      </c>
      <c r="DN53" s="278">
        <v>0</v>
      </c>
      <c r="DO53" s="278">
        <v>0</v>
      </c>
      <c r="DP53" s="278">
        <v>0</v>
      </c>
      <c r="DQ53" s="278">
        <v>0</v>
      </c>
      <c r="DR53" s="278">
        <v>0</v>
      </c>
      <c r="DS53" s="278">
        <v>0</v>
      </c>
      <c r="DT53" s="278">
        <v>0</v>
      </c>
      <c r="DU53" s="278">
        <v>0</v>
      </c>
      <c r="DV53" s="278">
        <v>0</v>
      </c>
      <c r="DW53" s="294" t="s">
        <v>342</v>
      </c>
    </row>
    <row r="54" spans="1:127" ht="10.5" hidden="1" outlineLevel="1">
      <c r="A54" s="16" t="s">
        <v>144</v>
      </c>
      <c r="B54" s="40">
        <v>6</v>
      </c>
      <c r="C54" s="41" t="s">
        <v>145</v>
      </c>
      <c r="D54" s="41"/>
      <c r="E54" s="41"/>
      <c r="F54" s="41"/>
      <c r="G54" s="41"/>
      <c r="H54" s="41"/>
      <c r="I54" s="41"/>
      <c r="J54" s="41"/>
      <c r="K54" s="41"/>
      <c r="L54" s="4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271">
        <v>0</v>
      </c>
      <c r="DG54" s="272">
        <v>0</v>
      </c>
      <c r="DH54" s="272">
        <v>0</v>
      </c>
      <c r="DI54" s="272">
        <v>0</v>
      </c>
      <c r="DJ54" s="272">
        <v>0</v>
      </c>
      <c r="DK54" s="272">
        <v>0</v>
      </c>
      <c r="DL54" s="272">
        <v>0</v>
      </c>
      <c r="DM54" s="272">
        <v>0</v>
      </c>
      <c r="DN54" s="272">
        <v>0</v>
      </c>
      <c r="DO54" s="272">
        <v>0</v>
      </c>
      <c r="DP54" s="272">
        <v>0</v>
      </c>
      <c r="DQ54" s="272">
        <v>0</v>
      </c>
      <c r="DR54" s="272">
        <v>0</v>
      </c>
      <c r="DS54" s="272">
        <v>0</v>
      </c>
      <c r="DT54" s="272">
        <v>0</v>
      </c>
      <c r="DU54" s="272">
        <v>0</v>
      </c>
      <c r="DV54" s="272">
        <v>0</v>
      </c>
      <c r="DW54" s="286" t="s">
        <v>342</v>
      </c>
    </row>
    <row r="55" spans="2:127" ht="10.5" hidden="1" outlineLevel="1">
      <c r="B55" s="30"/>
      <c r="C55" s="41" t="s">
        <v>147</v>
      </c>
      <c r="D55" s="41"/>
      <c r="E55" s="41"/>
      <c r="F55" s="41"/>
      <c r="G55" s="41"/>
      <c r="H55" s="41"/>
      <c r="I55" s="41"/>
      <c r="J55" s="41"/>
      <c r="K55" s="41"/>
      <c r="L55" s="4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273">
        <v>0</v>
      </c>
      <c r="DG55" s="274">
        <v>0</v>
      </c>
      <c r="DH55" s="274">
        <v>0</v>
      </c>
      <c r="DI55" s="274">
        <v>0</v>
      </c>
      <c r="DJ55" s="274">
        <v>0</v>
      </c>
      <c r="DK55" s="274">
        <v>0</v>
      </c>
      <c r="DL55" s="274">
        <v>0</v>
      </c>
      <c r="DM55" s="274">
        <v>0</v>
      </c>
      <c r="DN55" s="274">
        <v>0</v>
      </c>
      <c r="DO55" s="274">
        <v>0</v>
      </c>
      <c r="DP55" s="274">
        <v>0</v>
      </c>
      <c r="DQ55" s="274">
        <v>0</v>
      </c>
      <c r="DR55" s="274">
        <v>0</v>
      </c>
      <c r="DS55" s="274">
        <v>0</v>
      </c>
      <c r="DT55" s="274">
        <v>0</v>
      </c>
      <c r="DU55" s="274">
        <v>0</v>
      </c>
      <c r="DV55" s="274">
        <v>0</v>
      </c>
      <c r="DW55" s="283" t="s">
        <v>342</v>
      </c>
    </row>
    <row r="56" spans="2:127" ht="10.5" hidden="1" outlineLevel="1">
      <c r="B56" s="30"/>
      <c r="C56" s="41" t="s">
        <v>149</v>
      </c>
      <c r="D56" s="41"/>
      <c r="E56" s="41"/>
      <c r="F56" s="41"/>
      <c r="G56" s="41"/>
      <c r="H56" s="41"/>
      <c r="I56" s="41"/>
      <c r="J56" s="41"/>
      <c r="K56" s="41"/>
      <c r="L56" s="4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273">
        <v>0</v>
      </c>
      <c r="DG56" s="274">
        <v>0</v>
      </c>
      <c r="DH56" s="274">
        <v>0</v>
      </c>
      <c r="DI56" s="274">
        <v>0</v>
      </c>
      <c r="DJ56" s="274">
        <v>0</v>
      </c>
      <c r="DK56" s="274">
        <v>0</v>
      </c>
      <c r="DL56" s="274">
        <v>0</v>
      </c>
      <c r="DM56" s="274">
        <v>0</v>
      </c>
      <c r="DN56" s="274">
        <v>0</v>
      </c>
      <c r="DO56" s="274">
        <v>0</v>
      </c>
      <c r="DP56" s="274">
        <v>0</v>
      </c>
      <c r="DQ56" s="274">
        <v>0</v>
      </c>
      <c r="DR56" s="274">
        <v>0</v>
      </c>
      <c r="DS56" s="274">
        <v>0</v>
      </c>
      <c r="DT56" s="274">
        <v>0</v>
      </c>
      <c r="DU56" s="274">
        <v>0</v>
      </c>
      <c r="DV56" s="274">
        <v>0</v>
      </c>
      <c r="DW56" s="283" t="s">
        <v>342</v>
      </c>
    </row>
    <row r="57" spans="2:127" ht="10.5" hidden="1" outlineLevel="1">
      <c r="B57" s="30"/>
      <c r="C57" s="41" t="s">
        <v>151</v>
      </c>
      <c r="D57" s="41"/>
      <c r="E57" s="41"/>
      <c r="F57" s="41"/>
      <c r="G57" s="41"/>
      <c r="H57" s="41"/>
      <c r="I57" s="41"/>
      <c r="J57" s="41"/>
      <c r="K57" s="41"/>
      <c r="L57" s="4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273">
        <v>0</v>
      </c>
      <c r="DG57" s="274">
        <v>0</v>
      </c>
      <c r="DH57" s="274">
        <v>0</v>
      </c>
      <c r="DI57" s="274">
        <v>0</v>
      </c>
      <c r="DJ57" s="274">
        <v>0</v>
      </c>
      <c r="DK57" s="274">
        <v>0</v>
      </c>
      <c r="DL57" s="274">
        <v>0</v>
      </c>
      <c r="DM57" s="274">
        <v>0</v>
      </c>
      <c r="DN57" s="274">
        <v>0</v>
      </c>
      <c r="DO57" s="274">
        <v>0</v>
      </c>
      <c r="DP57" s="274">
        <v>0</v>
      </c>
      <c r="DQ57" s="274">
        <v>0</v>
      </c>
      <c r="DR57" s="274">
        <v>0</v>
      </c>
      <c r="DS57" s="274">
        <v>0</v>
      </c>
      <c r="DT57" s="274">
        <v>0</v>
      </c>
      <c r="DU57" s="274">
        <v>0</v>
      </c>
      <c r="DV57" s="274">
        <v>0</v>
      </c>
      <c r="DW57" s="283" t="s">
        <v>342</v>
      </c>
    </row>
    <row r="58" spans="2:127" ht="10.5" hidden="1" outlineLevel="1">
      <c r="B58" s="30"/>
      <c r="C58" s="41" t="s">
        <v>153</v>
      </c>
      <c r="D58" s="41"/>
      <c r="E58" s="41"/>
      <c r="F58" s="41"/>
      <c r="G58" s="41"/>
      <c r="H58" s="41"/>
      <c r="I58" s="41"/>
      <c r="J58" s="41"/>
      <c r="K58" s="41"/>
      <c r="L58" s="4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273">
        <v>0</v>
      </c>
      <c r="DG58" s="274">
        <v>0</v>
      </c>
      <c r="DH58" s="274">
        <v>0</v>
      </c>
      <c r="DI58" s="274">
        <v>0</v>
      </c>
      <c r="DJ58" s="274">
        <v>0</v>
      </c>
      <c r="DK58" s="274">
        <v>0</v>
      </c>
      <c r="DL58" s="274">
        <v>0</v>
      </c>
      <c r="DM58" s="274">
        <v>0</v>
      </c>
      <c r="DN58" s="274">
        <v>0</v>
      </c>
      <c r="DO58" s="274">
        <v>0</v>
      </c>
      <c r="DP58" s="274">
        <v>0</v>
      </c>
      <c r="DQ58" s="274">
        <v>0</v>
      </c>
      <c r="DR58" s="274">
        <v>0</v>
      </c>
      <c r="DS58" s="274">
        <v>0</v>
      </c>
      <c r="DT58" s="274">
        <v>0</v>
      </c>
      <c r="DU58" s="274">
        <v>0</v>
      </c>
      <c r="DV58" s="274">
        <v>0</v>
      </c>
      <c r="DW58" s="283" t="s">
        <v>342</v>
      </c>
    </row>
    <row r="59" spans="2:127" ht="10.5" hidden="1" outlineLevel="1">
      <c r="B59" s="30"/>
      <c r="C59" s="41" t="s">
        <v>155</v>
      </c>
      <c r="D59" s="41"/>
      <c r="E59" s="41"/>
      <c r="F59" s="41"/>
      <c r="G59" s="41"/>
      <c r="H59" s="41"/>
      <c r="I59" s="41"/>
      <c r="J59" s="41"/>
      <c r="K59" s="41"/>
      <c r="L59" s="4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273">
        <v>0</v>
      </c>
      <c r="DG59" s="274">
        <v>0</v>
      </c>
      <c r="DH59" s="274">
        <v>0</v>
      </c>
      <c r="DI59" s="274">
        <v>0</v>
      </c>
      <c r="DJ59" s="274">
        <v>0</v>
      </c>
      <c r="DK59" s="274">
        <v>0</v>
      </c>
      <c r="DL59" s="274">
        <v>0</v>
      </c>
      <c r="DM59" s="274">
        <v>0</v>
      </c>
      <c r="DN59" s="274">
        <v>0</v>
      </c>
      <c r="DO59" s="274">
        <v>0</v>
      </c>
      <c r="DP59" s="274">
        <v>0</v>
      </c>
      <c r="DQ59" s="274">
        <v>0</v>
      </c>
      <c r="DR59" s="274">
        <v>0</v>
      </c>
      <c r="DS59" s="274">
        <v>0</v>
      </c>
      <c r="DT59" s="274">
        <v>0</v>
      </c>
      <c r="DU59" s="274">
        <v>0</v>
      </c>
      <c r="DV59" s="274">
        <v>0</v>
      </c>
      <c r="DW59" s="283" t="s">
        <v>342</v>
      </c>
    </row>
    <row r="60" spans="2:127" ht="10.5" hidden="1" outlineLevel="1">
      <c r="B60" s="30"/>
      <c r="C60" s="41" t="s">
        <v>157</v>
      </c>
      <c r="D60" s="41"/>
      <c r="E60" s="41"/>
      <c r="F60" s="41"/>
      <c r="G60" s="41"/>
      <c r="H60" s="41"/>
      <c r="I60" s="41"/>
      <c r="J60" s="41"/>
      <c r="K60" s="41"/>
      <c r="L60" s="4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273">
        <v>0</v>
      </c>
      <c r="DG60" s="274">
        <v>0</v>
      </c>
      <c r="DH60" s="274">
        <v>0</v>
      </c>
      <c r="DI60" s="274">
        <v>0</v>
      </c>
      <c r="DJ60" s="274">
        <v>0</v>
      </c>
      <c r="DK60" s="274">
        <v>0</v>
      </c>
      <c r="DL60" s="274">
        <v>0</v>
      </c>
      <c r="DM60" s="274">
        <v>0</v>
      </c>
      <c r="DN60" s="274">
        <v>0</v>
      </c>
      <c r="DO60" s="274">
        <v>0</v>
      </c>
      <c r="DP60" s="274">
        <v>0</v>
      </c>
      <c r="DQ60" s="274">
        <v>0</v>
      </c>
      <c r="DR60" s="274">
        <v>0</v>
      </c>
      <c r="DS60" s="274">
        <v>0</v>
      </c>
      <c r="DT60" s="274">
        <v>0</v>
      </c>
      <c r="DU60" s="274">
        <v>0</v>
      </c>
      <c r="DV60" s="274">
        <v>0</v>
      </c>
      <c r="DW60" s="283" t="s">
        <v>342</v>
      </c>
    </row>
    <row r="61" spans="2:127" ht="10.5" hidden="1" outlineLevel="1">
      <c r="B61" s="30"/>
      <c r="C61" s="40" t="s">
        <v>160</v>
      </c>
      <c r="D61" s="40"/>
      <c r="E61" s="40"/>
      <c r="F61" s="40"/>
      <c r="G61" s="40"/>
      <c r="H61" s="40"/>
      <c r="I61" s="40"/>
      <c r="J61" s="40"/>
      <c r="K61" s="40"/>
      <c r="L61" s="42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277">
        <v>0</v>
      </c>
      <c r="DG61" s="278">
        <v>0</v>
      </c>
      <c r="DH61" s="278">
        <v>0</v>
      </c>
      <c r="DI61" s="278">
        <v>0</v>
      </c>
      <c r="DJ61" s="278">
        <v>0</v>
      </c>
      <c r="DK61" s="278">
        <v>0</v>
      </c>
      <c r="DL61" s="278">
        <v>0</v>
      </c>
      <c r="DM61" s="278">
        <v>0</v>
      </c>
      <c r="DN61" s="278">
        <v>0</v>
      </c>
      <c r="DO61" s="278">
        <v>0</v>
      </c>
      <c r="DP61" s="278">
        <v>0</v>
      </c>
      <c r="DQ61" s="278">
        <v>0</v>
      </c>
      <c r="DR61" s="278">
        <v>0</v>
      </c>
      <c r="DS61" s="278">
        <v>0</v>
      </c>
      <c r="DT61" s="278">
        <v>0</v>
      </c>
      <c r="DU61" s="278">
        <v>0</v>
      </c>
      <c r="DV61" s="278">
        <v>0</v>
      </c>
      <c r="DW61" s="294" t="s">
        <v>342</v>
      </c>
    </row>
    <row r="62" spans="1:127" ht="10.5" hidden="1" outlineLevel="1">
      <c r="A62" s="16" t="s">
        <v>144</v>
      </c>
      <c r="B62" s="40">
        <v>7</v>
      </c>
      <c r="C62" s="41" t="s">
        <v>145</v>
      </c>
      <c r="D62" s="41"/>
      <c r="E62" s="41"/>
      <c r="F62" s="41"/>
      <c r="G62" s="41"/>
      <c r="H62" s="41"/>
      <c r="I62" s="41"/>
      <c r="J62" s="41"/>
      <c r="K62" s="41"/>
      <c r="L62" s="4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271">
        <v>0</v>
      </c>
      <c r="DG62" s="272">
        <v>0</v>
      </c>
      <c r="DH62" s="272">
        <v>0</v>
      </c>
      <c r="DI62" s="272">
        <v>0</v>
      </c>
      <c r="DJ62" s="272">
        <v>0</v>
      </c>
      <c r="DK62" s="272">
        <v>0</v>
      </c>
      <c r="DL62" s="272">
        <v>0</v>
      </c>
      <c r="DM62" s="272">
        <v>0</v>
      </c>
      <c r="DN62" s="272">
        <v>0</v>
      </c>
      <c r="DO62" s="272">
        <v>0</v>
      </c>
      <c r="DP62" s="272">
        <v>0</v>
      </c>
      <c r="DQ62" s="272">
        <v>0</v>
      </c>
      <c r="DR62" s="272">
        <v>0</v>
      </c>
      <c r="DS62" s="272">
        <v>0</v>
      </c>
      <c r="DT62" s="272">
        <v>0</v>
      </c>
      <c r="DU62" s="272">
        <v>0</v>
      </c>
      <c r="DV62" s="272">
        <v>0</v>
      </c>
      <c r="DW62" s="286" t="s">
        <v>342</v>
      </c>
    </row>
    <row r="63" spans="2:127" ht="10.5" hidden="1" outlineLevel="1">
      <c r="B63" s="30"/>
      <c r="C63" s="41" t="s">
        <v>147</v>
      </c>
      <c r="D63" s="41"/>
      <c r="E63" s="41"/>
      <c r="F63" s="41"/>
      <c r="G63" s="41"/>
      <c r="H63" s="41"/>
      <c r="I63" s="41"/>
      <c r="J63" s="41"/>
      <c r="K63" s="41"/>
      <c r="L63" s="4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273">
        <v>0</v>
      </c>
      <c r="DG63" s="274">
        <v>0</v>
      </c>
      <c r="DH63" s="274">
        <v>0</v>
      </c>
      <c r="DI63" s="274">
        <v>0</v>
      </c>
      <c r="DJ63" s="274">
        <v>0</v>
      </c>
      <c r="DK63" s="274">
        <v>0</v>
      </c>
      <c r="DL63" s="274">
        <v>0</v>
      </c>
      <c r="DM63" s="274">
        <v>0</v>
      </c>
      <c r="DN63" s="274">
        <v>0</v>
      </c>
      <c r="DO63" s="274">
        <v>0</v>
      </c>
      <c r="DP63" s="274">
        <v>0</v>
      </c>
      <c r="DQ63" s="274">
        <v>0</v>
      </c>
      <c r="DR63" s="274">
        <v>0</v>
      </c>
      <c r="DS63" s="274">
        <v>0</v>
      </c>
      <c r="DT63" s="274">
        <v>0</v>
      </c>
      <c r="DU63" s="274">
        <v>0</v>
      </c>
      <c r="DV63" s="274">
        <v>0</v>
      </c>
      <c r="DW63" s="283" t="s">
        <v>342</v>
      </c>
    </row>
    <row r="64" spans="2:127" ht="10.5" hidden="1" outlineLevel="1">
      <c r="B64" s="30"/>
      <c r="C64" s="41" t="s">
        <v>149</v>
      </c>
      <c r="D64" s="41"/>
      <c r="E64" s="41"/>
      <c r="F64" s="41"/>
      <c r="G64" s="41"/>
      <c r="H64" s="41"/>
      <c r="I64" s="41"/>
      <c r="J64" s="41"/>
      <c r="K64" s="41"/>
      <c r="L64" s="43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273">
        <v>0</v>
      </c>
      <c r="DG64" s="274">
        <v>0</v>
      </c>
      <c r="DH64" s="274">
        <v>0</v>
      </c>
      <c r="DI64" s="274">
        <v>0</v>
      </c>
      <c r="DJ64" s="274">
        <v>0</v>
      </c>
      <c r="DK64" s="274">
        <v>0</v>
      </c>
      <c r="DL64" s="274">
        <v>0</v>
      </c>
      <c r="DM64" s="274">
        <v>0</v>
      </c>
      <c r="DN64" s="274">
        <v>0</v>
      </c>
      <c r="DO64" s="274">
        <v>0</v>
      </c>
      <c r="DP64" s="274">
        <v>0</v>
      </c>
      <c r="DQ64" s="274">
        <v>0</v>
      </c>
      <c r="DR64" s="274">
        <v>0</v>
      </c>
      <c r="DS64" s="274">
        <v>0</v>
      </c>
      <c r="DT64" s="274">
        <v>0</v>
      </c>
      <c r="DU64" s="274">
        <v>0</v>
      </c>
      <c r="DV64" s="274">
        <v>0</v>
      </c>
      <c r="DW64" s="283" t="s">
        <v>342</v>
      </c>
    </row>
    <row r="65" spans="2:127" ht="10.5" hidden="1" outlineLevel="1">
      <c r="B65" s="30"/>
      <c r="C65" s="41" t="s">
        <v>151</v>
      </c>
      <c r="D65" s="41"/>
      <c r="E65" s="41"/>
      <c r="F65" s="41"/>
      <c r="G65" s="41"/>
      <c r="H65" s="41"/>
      <c r="I65" s="41"/>
      <c r="J65" s="41"/>
      <c r="K65" s="41"/>
      <c r="L65" s="43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273">
        <v>0</v>
      </c>
      <c r="DG65" s="274">
        <v>0</v>
      </c>
      <c r="DH65" s="274">
        <v>0</v>
      </c>
      <c r="DI65" s="274">
        <v>0</v>
      </c>
      <c r="DJ65" s="274">
        <v>0</v>
      </c>
      <c r="DK65" s="274">
        <v>0</v>
      </c>
      <c r="DL65" s="274">
        <v>0</v>
      </c>
      <c r="DM65" s="274">
        <v>0</v>
      </c>
      <c r="DN65" s="274">
        <v>0</v>
      </c>
      <c r="DO65" s="274">
        <v>0</v>
      </c>
      <c r="DP65" s="274">
        <v>0</v>
      </c>
      <c r="DQ65" s="274">
        <v>0</v>
      </c>
      <c r="DR65" s="274">
        <v>0</v>
      </c>
      <c r="DS65" s="274">
        <v>0</v>
      </c>
      <c r="DT65" s="274">
        <v>0</v>
      </c>
      <c r="DU65" s="274">
        <v>0</v>
      </c>
      <c r="DV65" s="274">
        <v>0</v>
      </c>
      <c r="DW65" s="283" t="s">
        <v>342</v>
      </c>
    </row>
    <row r="66" spans="2:127" ht="10.5" hidden="1" outlineLevel="1">
      <c r="B66" s="30"/>
      <c r="C66" s="41" t="s">
        <v>153</v>
      </c>
      <c r="D66" s="41"/>
      <c r="E66" s="41"/>
      <c r="F66" s="41"/>
      <c r="G66" s="41"/>
      <c r="H66" s="41"/>
      <c r="I66" s="41"/>
      <c r="J66" s="41"/>
      <c r="K66" s="41"/>
      <c r="L66" s="4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273">
        <v>0</v>
      </c>
      <c r="DG66" s="274">
        <v>0</v>
      </c>
      <c r="DH66" s="274">
        <v>0</v>
      </c>
      <c r="DI66" s="274">
        <v>0</v>
      </c>
      <c r="DJ66" s="274">
        <v>0</v>
      </c>
      <c r="DK66" s="274">
        <v>0</v>
      </c>
      <c r="DL66" s="274">
        <v>0</v>
      </c>
      <c r="DM66" s="274">
        <v>0</v>
      </c>
      <c r="DN66" s="274">
        <v>0</v>
      </c>
      <c r="DO66" s="274">
        <v>0</v>
      </c>
      <c r="DP66" s="274">
        <v>0</v>
      </c>
      <c r="DQ66" s="274">
        <v>0</v>
      </c>
      <c r="DR66" s="274">
        <v>0</v>
      </c>
      <c r="DS66" s="274">
        <v>0</v>
      </c>
      <c r="DT66" s="274">
        <v>0</v>
      </c>
      <c r="DU66" s="274">
        <v>0</v>
      </c>
      <c r="DV66" s="274">
        <v>0</v>
      </c>
      <c r="DW66" s="283" t="s">
        <v>342</v>
      </c>
    </row>
    <row r="67" spans="2:127" ht="10.5" hidden="1" outlineLevel="1">
      <c r="B67" s="30"/>
      <c r="C67" s="41" t="s">
        <v>155</v>
      </c>
      <c r="D67" s="41"/>
      <c r="E67" s="41"/>
      <c r="F67" s="41"/>
      <c r="G67" s="41"/>
      <c r="H67" s="41"/>
      <c r="I67" s="41"/>
      <c r="J67" s="41"/>
      <c r="K67" s="41"/>
      <c r="L67" s="4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273">
        <v>0</v>
      </c>
      <c r="DG67" s="274">
        <v>0</v>
      </c>
      <c r="DH67" s="274">
        <v>0</v>
      </c>
      <c r="DI67" s="274">
        <v>0</v>
      </c>
      <c r="DJ67" s="274">
        <v>0</v>
      </c>
      <c r="DK67" s="274">
        <v>0</v>
      </c>
      <c r="DL67" s="274">
        <v>0</v>
      </c>
      <c r="DM67" s="274">
        <v>0</v>
      </c>
      <c r="DN67" s="274">
        <v>0</v>
      </c>
      <c r="DO67" s="274">
        <v>0</v>
      </c>
      <c r="DP67" s="274">
        <v>0</v>
      </c>
      <c r="DQ67" s="274">
        <v>0</v>
      </c>
      <c r="DR67" s="274">
        <v>0</v>
      </c>
      <c r="DS67" s="274">
        <v>0</v>
      </c>
      <c r="DT67" s="274">
        <v>0</v>
      </c>
      <c r="DU67" s="274">
        <v>0</v>
      </c>
      <c r="DV67" s="274">
        <v>0</v>
      </c>
      <c r="DW67" s="283" t="s">
        <v>342</v>
      </c>
    </row>
    <row r="68" spans="2:127" ht="10.5" hidden="1" outlineLevel="1">
      <c r="B68" s="30"/>
      <c r="C68" s="41" t="s">
        <v>157</v>
      </c>
      <c r="D68" s="41"/>
      <c r="E68" s="41"/>
      <c r="F68" s="41"/>
      <c r="G68" s="41"/>
      <c r="H68" s="41"/>
      <c r="I68" s="41"/>
      <c r="J68" s="41"/>
      <c r="K68" s="41"/>
      <c r="L68" s="43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273">
        <v>0</v>
      </c>
      <c r="DG68" s="274">
        <v>0</v>
      </c>
      <c r="DH68" s="274">
        <v>0</v>
      </c>
      <c r="DI68" s="274">
        <v>0</v>
      </c>
      <c r="DJ68" s="274">
        <v>0</v>
      </c>
      <c r="DK68" s="274">
        <v>0</v>
      </c>
      <c r="DL68" s="274">
        <v>0</v>
      </c>
      <c r="DM68" s="274">
        <v>0</v>
      </c>
      <c r="DN68" s="274">
        <v>0</v>
      </c>
      <c r="DO68" s="274">
        <v>0</v>
      </c>
      <c r="DP68" s="274">
        <v>0</v>
      </c>
      <c r="DQ68" s="274">
        <v>0</v>
      </c>
      <c r="DR68" s="274">
        <v>0</v>
      </c>
      <c r="DS68" s="274">
        <v>0</v>
      </c>
      <c r="DT68" s="274">
        <v>0</v>
      </c>
      <c r="DU68" s="274">
        <v>0</v>
      </c>
      <c r="DV68" s="274">
        <v>0</v>
      </c>
      <c r="DW68" s="283" t="s">
        <v>342</v>
      </c>
    </row>
    <row r="69" spans="2:127" ht="10.5" hidden="1" outlineLevel="1">
      <c r="B69" s="30"/>
      <c r="C69" s="40" t="s">
        <v>160</v>
      </c>
      <c r="D69" s="40"/>
      <c r="E69" s="40"/>
      <c r="F69" s="40"/>
      <c r="G69" s="40"/>
      <c r="H69" s="40"/>
      <c r="I69" s="40"/>
      <c r="J69" s="40"/>
      <c r="K69" s="40"/>
      <c r="L69" s="42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277">
        <v>0</v>
      </c>
      <c r="DG69" s="278">
        <v>0</v>
      </c>
      <c r="DH69" s="278">
        <v>0</v>
      </c>
      <c r="DI69" s="278">
        <v>0</v>
      </c>
      <c r="DJ69" s="278">
        <v>0</v>
      </c>
      <c r="DK69" s="278">
        <v>0</v>
      </c>
      <c r="DL69" s="278">
        <v>0</v>
      </c>
      <c r="DM69" s="278">
        <v>0</v>
      </c>
      <c r="DN69" s="278">
        <v>0</v>
      </c>
      <c r="DO69" s="278">
        <v>0</v>
      </c>
      <c r="DP69" s="278">
        <v>0</v>
      </c>
      <c r="DQ69" s="278">
        <v>0</v>
      </c>
      <c r="DR69" s="278">
        <v>0</v>
      </c>
      <c r="DS69" s="278">
        <v>0</v>
      </c>
      <c r="DT69" s="278">
        <v>0</v>
      </c>
      <c r="DU69" s="278">
        <v>0</v>
      </c>
      <c r="DV69" s="278">
        <v>0</v>
      </c>
      <c r="DW69" s="294" t="s">
        <v>342</v>
      </c>
    </row>
    <row r="70" spans="1:127" ht="10.5" hidden="1" outlineLevel="1">
      <c r="A70" s="16" t="s">
        <v>144</v>
      </c>
      <c r="B70" s="40">
        <v>8</v>
      </c>
      <c r="C70" s="41" t="s">
        <v>145</v>
      </c>
      <c r="D70" s="41"/>
      <c r="E70" s="41"/>
      <c r="F70" s="41"/>
      <c r="G70" s="41"/>
      <c r="H70" s="41"/>
      <c r="I70" s="41"/>
      <c r="J70" s="41"/>
      <c r="K70" s="41"/>
      <c r="L70" s="43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271">
        <v>0</v>
      </c>
      <c r="DG70" s="272">
        <v>0</v>
      </c>
      <c r="DH70" s="272">
        <v>0</v>
      </c>
      <c r="DI70" s="272">
        <v>0</v>
      </c>
      <c r="DJ70" s="272">
        <v>0</v>
      </c>
      <c r="DK70" s="272">
        <v>0</v>
      </c>
      <c r="DL70" s="272">
        <v>0</v>
      </c>
      <c r="DM70" s="272">
        <v>0</v>
      </c>
      <c r="DN70" s="272">
        <v>0</v>
      </c>
      <c r="DO70" s="272">
        <v>0</v>
      </c>
      <c r="DP70" s="272">
        <v>0</v>
      </c>
      <c r="DQ70" s="272">
        <v>0</v>
      </c>
      <c r="DR70" s="272">
        <v>0</v>
      </c>
      <c r="DS70" s="272">
        <v>0</v>
      </c>
      <c r="DT70" s="272">
        <v>0</v>
      </c>
      <c r="DU70" s="272">
        <v>0</v>
      </c>
      <c r="DV70" s="272">
        <v>0</v>
      </c>
      <c r="DW70" s="286" t="s">
        <v>342</v>
      </c>
    </row>
    <row r="71" spans="2:127" ht="10.5" hidden="1" outlineLevel="1">
      <c r="B71" s="30"/>
      <c r="C71" s="41" t="s">
        <v>147</v>
      </c>
      <c r="D71" s="41"/>
      <c r="E71" s="41"/>
      <c r="F71" s="41"/>
      <c r="G71" s="41"/>
      <c r="H71" s="41"/>
      <c r="I71" s="41"/>
      <c r="J71" s="41"/>
      <c r="K71" s="41"/>
      <c r="L71" s="4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273">
        <v>0</v>
      </c>
      <c r="DG71" s="274">
        <v>0</v>
      </c>
      <c r="DH71" s="274">
        <v>0</v>
      </c>
      <c r="DI71" s="274">
        <v>0</v>
      </c>
      <c r="DJ71" s="274">
        <v>0</v>
      </c>
      <c r="DK71" s="274">
        <v>0</v>
      </c>
      <c r="DL71" s="274">
        <v>0</v>
      </c>
      <c r="DM71" s="274">
        <v>0</v>
      </c>
      <c r="DN71" s="274">
        <v>0</v>
      </c>
      <c r="DO71" s="274">
        <v>0</v>
      </c>
      <c r="DP71" s="274">
        <v>0</v>
      </c>
      <c r="DQ71" s="274">
        <v>0</v>
      </c>
      <c r="DR71" s="274">
        <v>0</v>
      </c>
      <c r="DS71" s="274">
        <v>0</v>
      </c>
      <c r="DT71" s="274">
        <v>0</v>
      </c>
      <c r="DU71" s="274">
        <v>0</v>
      </c>
      <c r="DV71" s="274">
        <v>0</v>
      </c>
      <c r="DW71" s="283" t="s">
        <v>342</v>
      </c>
    </row>
    <row r="72" spans="2:127" ht="10.5" hidden="1" outlineLevel="1">
      <c r="B72" s="30"/>
      <c r="C72" s="41" t="s">
        <v>149</v>
      </c>
      <c r="D72" s="41"/>
      <c r="E72" s="41"/>
      <c r="F72" s="41"/>
      <c r="G72" s="41"/>
      <c r="H72" s="41"/>
      <c r="I72" s="41"/>
      <c r="J72" s="41"/>
      <c r="K72" s="41"/>
      <c r="L72" s="43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273">
        <v>0</v>
      </c>
      <c r="DG72" s="274">
        <v>0</v>
      </c>
      <c r="DH72" s="274">
        <v>0</v>
      </c>
      <c r="DI72" s="274">
        <v>0</v>
      </c>
      <c r="DJ72" s="274">
        <v>0</v>
      </c>
      <c r="DK72" s="274">
        <v>0</v>
      </c>
      <c r="DL72" s="274">
        <v>0</v>
      </c>
      <c r="DM72" s="274">
        <v>0</v>
      </c>
      <c r="DN72" s="274">
        <v>0</v>
      </c>
      <c r="DO72" s="274">
        <v>0</v>
      </c>
      <c r="DP72" s="274">
        <v>0</v>
      </c>
      <c r="DQ72" s="274">
        <v>0</v>
      </c>
      <c r="DR72" s="274">
        <v>0</v>
      </c>
      <c r="DS72" s="274">
        <v>0</v>
      </c>
      <c r="DT72" s="274">
        <v>0</v>
      </c>
      <c r="DU72" s="274">
        <v>0</v>
      </c>
      <c r="DV72" s="274">
        <v>0</v>
      </c>
      <c r="DW72" s="283" t="s">
        <v>342</v>
      </c>
    </row>
    <row r="73" spans="2:127" ht="10.5" hidden="1" outlineLevel="1">
      <c r="B73" s="30"/>
      <c r="C73" s="41" t="s">
        <v>151</v>
      </c>
      <c r="D73" s="41"/>
      <c r="E73" s="41"/>
      <c r="F73" s="41"/>
      <c r="G73" s="41"/>
      <c r="H73" s="41"/>
      <c r="I73" s="41"/>
      <c r="J73" s="41"/>
      <c r="K73" s="41"/>
      <c r="L73" s="43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273">
        <v>0</v>
      </c>
      <c r="DG73" s="274">
        <v>0</v>
      </c>
      <c r="DH73" s="274">
        <v>0</v>
      </c>
      <c r="DI73" s="274">
        <v>0</v>
      </c>
      <c r="DJ73" s="274">
        <v>0</v>
      </c>
      <c r="DK73" s="274">
        <v>0</v>
      </c>
      <c r="DL73" s="274">
        <v>0</v>
      </c>
      <c r="DM73" s="274">
        <v>0</v>
      </c>
      <c r="DN73" s="274">
        <v>0</v>
      </c>
      <c r="DO73" s="274">
        <v>0</v>
      </c>
      <c r="DP73" s="274">
        <v>0</v>
      </c>
      <c r="DQ73" s="274">
        <v>0</v>
      </c>
      <c r="DR73" s="274">
        <v>0</v>
      </c>
      <c r="DS73" s="274">
        <v>0</v>
      </c>
      <c r="DT73" s="274">
        <v>0</v>
      </c>
      <c r="DU73" s="274">
        <v>0</v>
      </c>
      <c r="DV73" s="274">
        <v>0</v>
      </c>
      <c r="DW73" s="283" t="s">
        <v>342</v>
      </c>
    </row>
    <row r="74" spans="2:127" ht="10.5" hidden="1" outlineLevel="1">
      <c r="B74" s="30"/>
      <c r="C74" s="41" t="s">
        <v>153</v>
      </c>
      <c r="D74" s="41"/>
      <c r="E74" s="41"/>
      <c r="F74" s="41"/>
      <c r="G74" s="41"/>
      <c r="H74" s="41"/>
      <c r="I74" s="41"/>
      <c r="J74" s="41"/>
      <c r="K74" s="41"/>
      <c r="L74" s="43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273">
        <v>0</v>
      </c>
      <c r="DG74" s="274">
        <v>0</v>
      </c>
      <c r="DH74" s="274">
        <v>0</v>
      </c>
      <c r="DI74" s="274">
        <v>0</v>
      </c>
      <c r="DJ74" s="274">
        <v>0</v>
      </c>
      <c r="DK74" s="274">
        <v>0</v>
      </c>
      <c r="DL74" s="274">
        <v>0</v>
      </c>
      <c r="DM74" s="274">
        <v>0</v>
      </c>
      <c r="DN74" s="274">
        <v>0</v>
      </c>
      <c r="DO74" s="274">
        <v>0</v>
      </c>
      <c r="DP74" s="274">
        <v>0</v>
      </c>
      <c r="DQ74" s="274">
        <v>0</v>
      </c>
      <c r="DR74" s="274">
        <v>0</v>
      </c>
      <c r="DS74" s="274">
        <v>0</v>
      </c>
      <c r="DT74" s="274">
        <v>0</v>
      </c>
      <c r="DU74" s="274">
        <v>0</v>
      </c>
      <c r="DV74" s="274">
        <v>0</v>
      </c>
      <c r="DW74" s="283" t="s">
        <v>342</v>
      </c>
    </row>
    <row r="75" spans="2:127" ht="10.5" hidden="1" outlineLevel="1">
      <c r="B75" s="30"/>
      <c r="C75" s="41" t="s">
        <v>155</v>
      </c>
      <c r="D75" s="41"/>
      <c r="E75" s="41"/>
      <c r="F75" s="41"/>
      <c r="G75" s="41"/>
      <c r="H75" s="41"/>
      <c r="I75" s="41"/>
      <c r="J75" s="41"/>
      <c r="K75" s="41"/>
      <c r="L75" s="43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273">
        <v>0</v>
      </c>
      <c r="DG75" s="274">
        <v>0</v>
      </c>
      <c r="DH75" s="274">
        <v>0</v>
      </c>
      <c r="DI75" s="274">
        <v>0</v>
      </c>
      <c r="DJ75" s="274">
        <v>0</v>
      </c>
      <c r="DK75" s="274">
        <v>0</v>
      </c>
      <c r="DL75" s="274">
        <v>0</v>
      </c>
      <c r="DM75" s="274">
        <v>0</v>
      </c>
      <c r="DN75" s="274">
        <v>0</v>
      </c>
      <c r="DO75" s="274">
        <v>0</v>
      </c>
      <c r="DP75" s="274">
        <v>0</v>
      </c>
      <c r="DQ75" s="274">
        <v>0</v>
      </c>
      <c r="DR75" s="274">
        <v>0</v>
      </c>
      <c r="DS75" s="274">
        <v>0</v>
      </c>
      <c r="DT75" s="274">
        <v>0</v>
      </c>
      <c r="DU75" s="274">
        <v>0</v>
      </c>
      <c r="DV75" s="274">
        <v>0</v>
      </c>
      <c r="DW75" s="283" t="s">
        <v>342</v>
      </c>
    </row>
    <row r="76" spans="2:127" ht="10.5" hidden="1" outlineLevel="1">
      <c r="B76" s="30"/>
      <c r="C76" s="41" t="s">
        <v>157</v>
      </c>
      <c r="D76" s="41"/>
      <c r="E76" s="41"/>
      <c r="F76" s="41"/>
      <c r="G76" s="41"/>
      <c r="H76" s="41"/>
      <c r="I76" s="41"/>
      <c r="J76" s="41"/>
      <c r="K76" s="41"/>
      <c r="L76" s="43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73">
        <v>0</v>
      </c>
      <c r="DG76" s="274">
        <v>0</v>
      </c>
      <c r="DH76" s="274">
        <v>0</v>
      </c>
      <c r="DI76" s="274">
        <v>0</v>
      </c>
      <c r="DJ76" s="274">
        <v>0</v>
      </c>
      <c r="DK76" s="274">
        <v>0</v>
      </c>
      <c r="DL76" s="274">
        <v>0</v>
      </c>
      <c r="DM76" s="274">
        <v>0</v>
      </c>
      <c r="DN76" s="274">
        <v>0</v>
      </c>
      <c r="DO76" s="274">
        <v>0</v>
      </c>
      <c r="DP76" s="274">
        <v>0</v>
      </c>
      <c r="DQ76" s="274">
        <v>0</v>
      </c>
      <c r="DR76" s="274">
        <v>0</v>
      </c>
      <c r="DS76" s="274">
        <v>0</v>
      </c>
      <c r="DT76" s="274">
        <v>0</v>
      </c>
      <c r="DU76" s="274">
        <v>0</v>
      </c>
      <c r="DV76" s="274">
        <v>0</v>
      </c>
      <c r="DW76" s="283" t="s">
        <v>342</v>
      </c>
    </row>
    <row r="77" spans="2:127" ht="10.5" hidden="1" outlineLevel="1">
      <c r="B77" s="30"/>
      <c r="C77" s="40" t="s">
        <v>160</v>
      </c>
      <c r="D77" s="40"/>
      <c r="E77" s="40"/>
      <c r="F77" s="40"/>
      <c r="G77" s="40"/>
      <c r="H77" s="40"/>
      <c r="I77" s="40"/>
      <c r="J77" s="40"/>
      <c r="K77" s="40"/>
      <c r="L77" s="42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277">
        <v>0</v>
      </c>
      <c r="DG77" s="278">
        <v>0</v>
      </c>
      <c r="DH77" s="278">
        <v>0</v>
      </c>
      <c r="DI77" s="278">
        <v>0</v>
      </c>
      <c r="DJ77" s="278">
        <v>0</v>
      </c>
      <c r="DK77" s="278">
        <v>0</v>
      </c>
      <c r="DL77" s="278">
        <v>0</v>
      </c>
      <c r="DM77" s="278">
        <v>0</v>
      </c>
      <c r="DN77" s="278">
        <v>0</v>
      </c>
      <c r="DO77" s="278">
        <v>0</v>
      </c>
      <c r="DP77" s="278">
        <v>0</v>
      </c>
      <c r="DQ77" s="278">
        <v>0</v>
      </c>
      <c r="DR77" s="278">
        <v>0</v>
      </c>
      <c r="DS77" s="278">
        <v>0</v>
      </c>
      <c r="DT77" s="278">
        <v>0</v>
      </c>
      <c r="DU77" s="278">
        <v>0</v>
      </c>
      <c r="DV77" s="278">
        <v>0</v>
      </c>
      <c r="DW77" s="294" t="s">
        <v>342</v>
      </c>
    </row>
    <row r="78" spans="1:127" ht="10.5" hidden="1" outlineLevel="1">
      <c r="A78" s="16" t="s">
        <v>144</v>
      </c>
      <c r="B78" s="40">
        <v>9</v>
      </c>
      <c r="C78" s="41" t="s">
        <v>145</v>
      </c>
      <c r="D78" s="41"/>
      <c r="E78" s="41"/>
      <c r="F78" s="41"/>
      <c r="G78" s="41"/>
      <c r="H78" s="41"/>
      <c r="I78" s="41"/>
      <c r="J78" s="41"/>
      <c r="K78" s="41"/>
      <c r="L78" s="43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271">
        <v>0</v>
      </c>
      <c r="DG78" s="272">
        <v>0</v>
      </c>
      <c r="DH78" s="272">
        <v>0</v>
      </c>
      <c r="DI78" s="272">
        <v>0</v>
      </c>
      <c r="DJ78" s="272">
        <v>0</v>
      </c>
      <c r="DK78" s="272">
        <v>0</v>
      </c>
      <c r="DL78" s="272">
        <v>0</v>
      </c>
      <c r="DM78" s="272">
        <v>0</v>
      </c>
      <c r="DN78" s="272">
        <v>0</v>
      </c>
      <c r="DO78" s="272">
        <v>0</v>
      </c>
      <c r="DP78" s="272">
        <v>0</v>
      </c>
      <c r="DQ78" s="272">
        <v>0</v>
      </c>
      <c r="DR78" s="272">
        <v>0</v>
      </c>
      <c r="DS78" s="272">
        <v>0</v>
      </c>
      <c r="DT78" s="272">
        <v>0</v>
      </c>
      <c r="DU78" s="272">
        <v>0</v>
      </c>
      <c r="DV78" s="272">
        <v>0</v>
      </c>
      <c r="DW78" s="286" t="s">
        <v>342</v>
      </c>
    </row>
    <row r="79" spans="2:127" ht="10.5" hidden="1" outlineLevel="1">
      <c r="B79" s="30"/>
      <c r="C79" s="41" t="s">
        <v>147</v>
      </c>
      <c r="D79" s="41"/>
      <c r="E79" s="41"/>
      <c r="F79" s="41"/>
      <c r="G79" s="41"/>
      <c r="H79" s="41"/>
      <c r="I79" s="41"/>
      <c r="J79" s="41"/>
      <c r="K79" s="41"/>
      <c r="L79" s="43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273">
        <v>0</v>
      </c>
      <c r="DG79" s="274">
        <v>0</v>
      </c>
      <c r="DH79" s="274">
        <v>0</v>
      </c>
      <c r="DI79" s="274">
        <v>0</v>
      </c>
      <c r="DJ79" s="274">
        <v>0</v>
      </c>
      <c r="DK79" s="274">
        <v>0</v>
      </c>
      <c r="DL79" s="274">
        <v>0</v>
      </c>
      <c r="DM79" s="274">
        <v>0</v>
      </c>
      <c r="DN79" s="274">
        <v>0</v>
      </c>
      <c r="DO79" s="274">
        <v>0</v>
      </c>
      <c r="DP79" s="274">
        <v>0</v>
      </c>
      <c r="DQ79" s="274">
        <v>0</v>
      </c>
      <c r="DR79" s="274">
        <v>0</v>
      </c>
      <c r="DS79" s="274">
        <v>0</v>
      </c>
      <c r="DT79" s="274">
        <v>0</v>
      </c>
      <c r="DU79" s="274">
        <v>0</v>
      </c>
      <c r="DV79" s="274">
        <v>0</v>
      </c>
      <c r="DW79" s="283" t="s">
        <v>342</v>
      </c>
    </row>
    <row r="80" spans="2:127" ht="10.5" hidden="1" outlineLevel="1">
      <c r="B80" s="30"/>
      <c r="C80" s="41" t="s">
        <v>149</v>
      </c>
      <c r="D80" s="41"/>
      <c r="E80" s="41"/>
      <c r="F80" s="41"/>
      <c r="G80" s="41"/>
      <c r="H80" s="41"/>
      <c r="I80" s="41"/>
      <c r="J80" s="41"/>
      <c r="K80" s="41"/>
      <c r="L80" s="43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273">
        <v>0</v>
      </c>
      <c r="DG80" s="274">
        <v>0</v>
      </c>
      <c r="DH80" s="274">
        <v>0</v>
      </c>
      <c r="DI80" s="274">
        <v>0</v>
      </c>
      <c r="DJ80" s="274">
        <v>0</v>
      </c>
      <c r="DK80" s="274">
        <v>0</v>
      </c>
      <c r="DL80" s="274">
        <v>0</v>
      </c>
      <c r="DM80" s="274">
        <v>0</v>
      </c>
      <c r="DN80" s="274">
        <v>0</v>
      </c>
      <c r="DO80" s="274">
        <v>0</v>
      </c>
      <c r="DP80" s="274">
        <v>0</v>
      </c>
      <c r="DQ80" s="274">
        <v>0</v>
      </c>
      <c r="DR80" s="274">
        <v>0</v>
      </c>
      <c r="DS80" s="274">
        <v>0</v>
      </c>
      <c r="DT80" s="274">
        <v>0</v>
      </c>
      <c r="DU80" s="274">
        <v>0</v>
      </c>
      <c r="DV80" s="274">
        <v>0</v>
      </c>
      <c r="DW80" s="283" t="s">
        <v>342</v>
      </c>
    </row>
    <row r="81" spans="2:127" ht="10.5" hidden="1" outlineLevel="1">
      <c r="B81" s="30"/>
      <c r="C81" s="41" t="s">
        <v>151</v>
      </c>
      <c r="D81" s="41"/>
      <c r="E81" s="41"/>
      <c r="F81" s="41"/>
      <c r="G81" s="41"/>
      <c r="H81" s="41"/>
      <c r="I81" s="41"/>
      <c r="J81" s="41"/>
      <c r="K81" s="41"/>
      <c r="L81" s="43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273">
        <v>0</v>
      </c>
      <c r="DG81" s="274">
        <v>0</v>
      </c>
      <c r="DH81" s="274">
        <v>0</v>
      </c>
      <c r="DI81" s="274">
        <v>0</v>
      </c>
      <c r="DJ81" s="274">
        <v>0</v>
      </c>
      <c r="DK81" s="274">
        <v>0</v>
      </c>
      <c r="DL81" s="274">
        <v>0</v>
      </c>
      <c r="DM81" s="274">
        <v>0</v>
      </c>
      <c r="DN81" s="274">
        <v>0</v>
      </c>
      <c r="DO81" s="274">
        <v>0</v>
      </c>
      <c r="DP81" s="274">
        <v>0</v>
      </c>
      <c r="DQ81" s="274">
        <v>0</v>
      </c>
      <c r="DR81" s="274">
        <v>0</v>
      </c>
      <c r="DS81" s="274">
        <v>0</v>
      </c>
      <c r="DT81" s="274">
        <v>0</v>
      </c>
      <c r="DU81" s="274">
        <v>0</v>
      </c>
      <c r="DV81" s="274">
        <v>0</v>
      </c>
      <c r="DW81" s="283" t="s">
        <v>342</v>
      </c>
    </row>
    <row r="82" spans="2:127" ht="10.5" hidden="1" outlineLevel="1">
      <c r="B82" s="30"/>
      <c r="C82" s="41" t="s">
        <v>153</v>
      </c>
      <c r="D82" s="41"/>
      <c r="E82" s="41"/>
      <c r="F82" s="41"/>
      <c r="G82" s="41"/>
      <c r="H82" s="41"/>
      <c r="I82" s="41"/>
      <c r="J82" s="41"/>
      <c r="K82" s="41"/>
      <c r="L82" s="43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273">
        <v>0</v>
      </c>
      <c r="DG82" s="274">
        <v>0</v>
      </c>
      <c r="DH82" s="274">
        <v>0</v>
      </c>
      <c r="DI82" s="274">
        <v>0</v>
      </c>
      <c r="DJ82" s="274">
        <v>0</v>
      </c>
      <c r="DK82" s="274">
        <v>0</v>
      </c>
      <c r="DL82" s="274">
        <v>0</v>
      </c>
      <c r="DM82" s="274">
        <v>0</v>
      </c>
      <c r="DN82" s="274">
        <v>0</v>
      </c>
      <c r="DO82" s="274">
        <v>0</v>
      </c>
      <c r="DP82" s="274">
        <v>0</v>
      </c>
      <c r="DQ82" s="274">
        <v>0</v>
      </c>
      <c r="DR82" s="274">
        <v>0</v>
      </c>
      <c r="DS82" s="274">
        <v>0</v>
      </c>
      <c r="DT82" s="274">
        <v>0</v>
      </c>
      <c r="DU82" s="274">
        <v>0</v>
      </c>
      <c r="DV82" s="274">
        <v>0</v>
      </c>
      <c r="DW82" s="283" t="s">
        <v>342</v>
      </c>
    </row>
    <row r="83" spans="2:127" ht="10.5" hidden="1" outlineLevel="1">
      <c r="B83" s="30"/>
      <c r="C83" s="41" t="s">
        <v>155</v>
      </c>
      <c r="D83" s="41"/>
      <c r="E83" s="41"/>
      <c r="F83" s="41"/>
      <c r="G83" s="41"/>
      <c r="H83" s="41"/>
      <c r="I83" s="41"/>
      <c r="J83" s="41"/>
      <c r="K83" s="41"/>
      <c r="L83" s="4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273">
        <v>0</v>
      </c>
      <c r="DG83" s="274">
        <v>0</v>
      </c>
      <c r="DH83" s="274">
        <v>0</v>
      </c>
      <c r="DI83" s="274">
        <v>0</v>
      </c>
      <c r="DJ83" s="274">
        <v>0</v>
      </c>
      <c r="DK83" s="274">
        <v>0</v>
      </c>
      <c r="DL83" s="274">
        <v>0</v>
      </c>
      <c r="DM83" s="274">
        <v>0</v>
      </c>
      <c r="DN83" s="274">
        <v>0</v>
      </c>
      <c r="DO83" s="274">
        <v>0</v>
      </c>
      <c r="DP83" s="274">
        <v>0</v>
      </c>
      <c r="DQ83" s="274">
        <v>0</v>
      </c>
      <c r="DR83" s="274">
        <v>0</v>
      </c>
      <c r="DS83" s="274">
        <v>0</v>
      </c>
      <c r="DT83" s="274">
        <v>0</v>
      </c>
      <c r="DU83" s="274">
        <v>0</v>
      </c>
      <c r="DV83" s="274">
        <v>0</v>
      </c>
      <c r="DW83" s="283" t="s">
        <v>342</v>
      </c>
    </row>
    <row r="84" spans="2:127" ht="10.5" hidden="1" outlineLevel="1">
      <c r="B84" s="30"/>
      <c r="C84" s="41" t="s">
        <v>157</v>
      </c>
      <c r="D84" s="41"/>
      <c r="E84" s="41"/>
      <c r="F84" s="41"/>
      <c r="G84" s="41"/>
      <c r="H84" s="41"/>
      <c r="I84" s="41"/>
      <c r="J84" s="41"/>
      <c r="K84" s="41"/>
      <c r="L84" s="43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273">
        <v>0</v>
      </c>
      <c r="DG84" s="274">
        <v>0</v>
      </c>
      <c r="DH84" s="274">
        <v>0</v>
      </c>
      <c r="DI84" s="274">
        <v>0</v>
      </c>
      <c r="DJ84" s="274">
        <v>0</v>
      </c>
      <c r="DK84" s="274">
        <v>0</v>
      </c>
      <c r="DL84" s="274">
        <v>0</v>
      </c>
      <c r="DM84" s="274">
        <v>0</v>
      </c>
      <c r="DN84" s="274">
        <v>0</v>
      </c>
      <c r="DO84" s="274">
        <v>0</v>
      </c>
      <c r="DP84" s="274">
        <v>0</v>
      </c>
      <c r="DQ84" s="274">
        <v>0</v>
      </c>
      <c r="DR84" s="274">
        <v>0</v>
      </c>
      <c r="DS84" s="274">
        <v>0</v>
      </c>
      <c r="DT84" s="274">
        <v>0</v>
      </c>
      <c r="DU84" s="274">
        <v>0</v>
      </c>
      <c r="DV84" s="274">
        <v>0</v>
      </c>
      <c r="DW84" s="283" t="s">
        <v>342</v>
      </c>
    </row>
    <row r="85" spans="2:127" ht="10.5" hidden="1" outlineLevel="1">
      <c r="B85" s="30"/>
      <c r="C85" s="40" t="s">
        <v>160</v>
      </c>
      <c r="D85" s="40"/>
      <c r="E85" s="40"/>
      <c r="F85" s="40"/>
      <c r="G85" s="40"/>
      <c r="H85" s="40"/>
      <c r="I85" s="40"/>
      <c r="J85" s="40"/>
      <c r="K85" s="40"/>
      <c r="L85" s="42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277">
        <v>0</v>
      </c>
      <c r="DG85" s="278">
        <v>0</v>
      </c>
      <c r="DH85" s="278">
        <v>0</v>
      </c>
      <c r="DI85" s="278">
        <v>0</v>
      </c>
      <c r="DJ85" s="278">
        <v>0</v>
      </c>
      <c r="DK85" s="278">
        <v>0</v>
      </c>
      <c r="DL85" s="278">
        <v>0</v>
      </c>
      <c r="DM85" s="278">
        <v>0</v>
      </c>
      <c r="DN85" s="278">
        <v>0</v>
      </c>
      <c r="DO85" s="278">
        <v>0</v>
      </c>
      <c r="DP85" s="278">
        <v>0</v>
      </c>
      <c r="DQ85" s="278">
        <v>0</v>
      </c>
      <c r="DR85" s="278">
        <v>0</v>
      </c>
      <c r="DS85" s="278">
        <v>0</v>
      </c>
      <c r="DT85" s="278">
        <v>0</v>
      </c>
      <c r="DU85" s="278">
        <v>0</v>
      </c>
      <c r="DV85" s="278">
        <v>0</v>
      </c>
      <c r="DW85" s="294" t="s">
        <v>342</v>
      </c>
    </row>
    <row r="86" spans="1:127" ht="10.5" hidden="1" outlineLevel="1">
      <c r="A86" s="16" t="s">
        <v>144</v>
      </c>
      <c r="B86" s="40">
        <v>10</v>
      </c>
      <c r="C86" s="41" t="s">
        <v>145</v>
      </c>
      <c r="D86" s="41"/>
      <c r="E86" s="41"/>
      <c r="F86" s="41"/>
      <c r="G86" s="41"/>
      <c r="H86" s="41"/>
      <c r="I86" s="41"/>
      <c r="J86" s="41"/>
      <c r="K86" s="41"/>
      <c r="L86" s="43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271">
        <v>0</v>
      </c>
      <c r="DG86" s="272">
        <v>0</v>
      </c>
      <c r="DH86" s="272">
        <v>0</v>
      </c>
      <c r="DI86" s="272">
        <v>0</v>
      </c>
      <c r="DJ86" s="272">
        <v>0</v>
      </c>
      <c r="DK86" s="272">
        <v>0</v>
      </c>
      <c r="DL86" s="272">
        <v>0</v>
      </c>
      <c r="DM86" s="272">
        <v>0</v>
      </c>
      <c r="DN86" s="272">
        <v>0</v>
      </c>
      <c r="DO86" s="272">
        <v>0</v>
      </c>
      <c r="DP86" s="272">
        <v>0</v>
      </c>
      <c r="DQ86" s="272">
        <v>0</v>
      </c>
      <c r="DR86" s="272">
        <v>0</v>
      </c>
      <c r="DS86" s="272">
        <v>0</v>
      </c>
      <c r="DT86" s="272">
        <v>0</v>
      </c>
      <c r="DU86" s="272">
        <v>0</v>
      </c>
      <c r="DV86" s="272">
        <v>0</v>
      </c>
      <c r="DW86" s="286" t="s">
        <v>342</v>
      </c>
    </row>
    <row r="87" spans="2:127" ht="10.5" hidden="1" outlineLevel="1">
      <c r="B87" s="30"/>
      <c r="C87" s="41" t="s">
        <v>147</v>
      </c>
      <c r="D87" s="41"/>
      <c r="E87" s="41"/>
      <c r="F87" s="41"/>
      <c r="G87" s="41"/>
      <c r="H87" s="41"/>
      <c r="I87" s="41"/>
      <c r="J87" s="41"/>
      <c r="K87" s="41"/>
      <c r="L87" s="43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273">
        <v>0</v>
      </c>
      <c r="DG87" s="274">
        <v>0</v>
      </c>
      <c r="DH87" s="274">
        <v>0</v>
      </c>
      <c r="DI87" s="274">
        <v>0</v>
      </c>
      <c r="DJ87" s="274">
        <v>0</v>
      </c>
      <c r="DK87" s="274">
        <v>0</v>
      </c>
      <c r="DL87" s="274">
        <v>0</v>
      </c>
      <c r="DM87" s="274">
        <v>0</v>
      </c>
      <c r="DN87" s="274">
        <v>0</v>
      </c>
      <c r="DO87" s="274">
        <v>0</v>
      </c>
      <c r="DP87" s="274">
        <v>0</v>
      </c>
      <c r="DQ87" s="274">
        <v>0</v>
      </c>
      <c r="DR87" s="274">
        <v>0</v>
      </c>
      <c r="DS87" s="274">
        <v>0</v>
      </c>
      <c r="DT87" s="274">
        <v>0</v>
      </c>
      <c r="DU87" s="274">
        <v>0</v>
      </c>
      <c r="DV87" s="274">
        <v>0</v>
      </c>
      <c r="DW87" s="283" t="s">
        <v>342</v>
      </c>
    </row>
    <row r="88" spans="2:127" ht="10.5" hidden="1" outlineLevel="1">
      <c r="B88" s="30"/>
      <c r="C88" s="41" t="s">
        <v>149</v>
      </c>
      <c r="D88" s="41"/>
      <c r="E88" s="41"/>
      <c r="F88" s="41"/>
      <c r="G88" s="41"/>
      <c r="H88" s="41"/>
      <c r="I88" s="41"/>
      <c r="J88" s="41"/>
      <c r="K88" s="41"/>
      <c r="L88" s="43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273">
        <v>0</v>
      </c>
      <c r="DG88" s="274">
        <v>0</v>
      </c>
      <c r="DH88" s="274">
        <v>0</v>
      </c>
      <c r="DI88" s="274">
        <v>0</v>
      </c>
      <c r="DJ88" s="274">
        <v>0</v>
      </c>
      <c r="DK88" s="274">
        <v>0</v>
      </c>
      <c r="DL88" s="274">
        <v>0</v>
      </c>
      <c r="DM88" s="274">
        <v>0</v>
      </c>
      <c r="DN88" s="274">
        <v>0</v>
      </c>
      <c r="DO88" s="274">
        <v>0</v>
      </c>
      <c r="DP88" s="274">
        <v>0</v>
      </c>
      <c r="DQ88" s="274">
        <v>0</v>
      </c>
      <c r="DR88" s="274">
        <v>0</v>
      </c>
      <c r="DS88" s="274">
        <v>0</v>
      </c>
      <c r="DT88" s="274">
        <v>0</v>
      </c>
      <c r="DU88" s="274">
        <v>0</v>
      </c>
      <c r="DV88" s="274">
        <v>0</v>
      </c>
      <c r="DW88" s="283" t="s">
        <v>342</v>
      </c>
    </row>
    <row r="89" spans="2:127" ht="10.5" hidden="1" outlineLevel="1">
      <c r="B89" s="30"/>
      <c r="C89" s="41" t="s">
        <v>151</v>
      </c>
      <c r="D89" s="41"/>
      <c r="E89" s="41"/>
      <c r="F89" s="41"/>
      <c r="G89" s="41"/>
      <c r="H89" s="41"/>
      <c r="I89" s="41"/>
      <c r="J89" s="41"/>
      <c r="K89" s="41"/>
      <c r="L89" s="43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273">
        <v>0</v>
      </c>
      <c r="DG89" s="274">
        <v>0</v>
      </c>
      <c r="DH89" s="274">
        <v>0</v>
      </c>
      <c r="DI89" s="274">
        <v>0</v>
      </c>
      <c r="DJ89" s="274">
        <v>0</v>
      </c>
      <c r="DK89" s="274">
        <v>0</v>
      </c>
      <c r="DL89" s="274">
        <v>0</v>
      </c>
      <c r="DM89" s="274">
        <v>0</v>
      </c>
      <c r="DN89" s="274">
        <v>0</v>
      </c>
      <c r="DO89" s="274">
        <v>0</v>
      </c>
      <c r="DP89" s="274">
        <v>0</v>
      </c>
      <c r="DQ89" s="274">
        <v>0</v>
      </c>
      <c r="DR89" s="274">
        <v>0</v>
      </c>
      <c r="DS89" s="274">
        <v>0</v>
      </c>
      <c r="DT89" s="274">
        <v>0</v>
      </c>
      <c r="DU89" s="274">
        <v>0</v>
      </c>
      <c r="DV89" s="274">
        <v>0</v>
      </c>
      <c r="DW89" s="283" t="s">
        <v>342</v>
      </c>
    </row>
    <row r="90" spans="2:127" ht="10.5" hidden="1" outlineLevel="1">
      <c r="B90" s="30"/>
      <c r="C90" s="41" t="s">
        <v>153</v>
      </c>
      <c r="D90" s="41"/>
      <c r="E90" s="41"/>
      <c r="F90" s="41"/>
      <c r="G90" s="41"/>
      <c r="H90" s="41"/>
      <c r="I90" s="41"/>
      <c r="J90" s="41"/>
      <c r="K90" s="41"/>
      <c r="L90" s="43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273">
        <v>0</v>
      </c>
      <c r="DG90" s="274">
        <v>0</v>
      </c>
      <c r="DH90" s="274">
        <v>0</v>
      </c>
      <c r="DI90" s="274">
        <v>0</v>
      </c>
      <c r="DJ90" s="274">
        <v>0</v>
      </c>
      <c r="DK90" s="274">
        <v>0</v>
      </c>
      <c r="DL90" s="274">
        <v>0</v>
      </c>
      <c r="DM90" s="274">
        <v>0</v>
      </c>
      <c r="DN90" s="274">
        <v>0</v>
      </c>
      <c r="DO90" s="274">
        <v>0</v>
      </c>
      <c r="DP90" s="274">
        <v>0</v>
      </c>
      <c r="DQ90" s="274">
        <v>0</v>
      </c>
      <c r="DR90" s="274">
        <v>0</v>
      </c>
      <c r="DS90" s="274">
        <v>0</v>
      </c>
      <c r="DT90" s="274">
        <v>0</v>
      </c>
      <c r="DU90" s="274">
        <v>0</v>
      </c>
      <c r="DV90" s="274">
        <v>0</v>
      </c>
      <c r="DW90" s="283" t="s">
        <v>342</v>
      </c>
    </row>
    <row r="91" spans="2:127" ht="10.5" hidden="1" outlineLevel="1">
      <c r="B91" s="30"/>
      <c r="C91" s="41" t="s">
        <v>155</v>
      </c>
      <c r="D91" s="41"/>
      <c r="E91" s="41"/>
      <c r="F91" s="41"/>
      <c r="G91" s="41"/>
      <c r="H91" s="41"/>
      <c r="I91" s="41"/>
      <c r="J91" s="41"/>
      <c r="K91" s="41"/>
      <c r="L91" s="43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273">
        <v>0</v>
      </c>
      <c r="DG91" s="274">
        <v>0</v>
      </c>
      <c r="DH91" s="274">
        <v>0</v>
      </c>
      <c r="DI91" s="274">
        <v>0</v>
      </c>
      <c r="DJ91" s="274">
        <v>0</v>
      </c>
      <c r="DK91" s="274">
        <v>0</v>
      </c>
      <c r="DL91" s="274">
        <v>0</v>
      </c>
      <c r="DM91" s="274">
        <v>0</v>
      </c>
      <c r="DN91" s="274">
        <v>0</v>
      </c>
      <c r="DO91" s="274">
        <v>0</v>
      </c>
      <c r="DP91" s="274">
        <v>0</v>
      </c>
      <c r="DQ91" s="274">
        <v>0</v>
      </c>
      <c r="DR91" s="274">
        <v>0</v>
      </c>
      <c r="DS91" s="274">
        <v>0</v>
      </c>
      <c r="DT91" s="274">
        <v>0</v>
      </c>
      <c r="DU91" s="274">
        <v>0</v>
      </c>
      <c r="DV91" s="274">
        <v>0</v>
      </c>
      <c r="DW91" s="283" t="s">
        <v>342</v>
      </c>
    </row>
    <row r="92" spans="2:127" ht="10.5" hidden="1" outlineLevel="1">
      <c r="B92" s="30"/>
      <c r="C92" s="41" t="s">
        <v>157</v>
      </c>
      <c r="D92" s="41"/>
      <c r="E92" s="41"/>
      <c r="F92" s="41"/>
      <c r="G92" s="41"/>
      <c r="H92" s="41"/>
      <c r="I92" s="41"/>
      <c r="J92" s="41"/>
      <c r="K92" s="41"/>
      <c r="L92" s="43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273">
        <v>0</v>
      </c>
      <c r="DG92" s="274">
        <v>0</v>
      </c>
      <c r="DH92" s="274">
        <v>0</v>
      </c>
      <c r="DI92" s="274">
        <v>0</v>
      </c>
      <c r="DJ92" s="274">
        <v>0</v>
      </c>
      <c r="DK92" s="274">
        <v>0</v>
      </c>
      <c r="DL92" s="274">
        <v>0</v>
      </c>
      <c r="DM92" s="274">
        <v>0</v>
      </c>
      <c r="DN92" s="274">
        <v>0</v>
      </c>
      <c r="DO92" s="274">
        <v>0</v>
      </c>
      <c r="DP92" s="274">
        <v>0</v>
      </c>
      <c r="DQ92" s="274">
        <v>0</v>
      </c>
      <c r="DR92" s="274">
        <v>0</v>
      </c>
      <c r="DS92" s="274">
        <v>0</v>
      </c>
      <c r="DT92" s="274">
        <v>0</v>
      </c>
      <c r="DU92" s="274">
        <v>0</v>
      </c>
      <c r="DV92" s="274">
        <v>0</v>
      </c>
      <c r="DW92" s="283" t="s">
        <v>342</v>
      </c>
    </row>
    <row r="93" spans="2:127" ht="10.5" hidden="1" outlineLevel="1">
      <c r="B93" s="30"/>
      <c r="C93" s="40" t="s">
        <v>160</v>
      </c>
      <c r="D93" s="40"/>
      <c r="E93" s="40"/>
      <c r="F93" s="40"/>
      <c r="G93" s="40"/>
      <c r="H93" s="40"/>
      <c r="I93" s="40"/>
      <c r="J93" s="40"/>
      <c r="K93" s="40"/>
      <c r="L93" s="42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277">
        <v>0</v>
      </c>
      <c r="DG93" s="278">
        <v>0</v>
      </c>
      <c r="DH93" s="278">
        <v>0</v>
      </c>
      <c r="DI93" s="278">
        <v>0</v>
      </c>
      <c r="DJ93" s="278">
        <v>0</v>
      </c>
      <c r="DK93" s="278">
        <v>0</v>
      </c>
      <c r="DL93" s="278">
        <v>0</v>
      </c>
      <c r="DM93" s="278">
        <v>0</v>
      </c>
      <c r="DN93" s="278">
        <v>0</v>
      </c>
      <c r="DO93" s="278">
        <v>0</v>
      </c>
      <c r="DP93" s="278">
        <v>0</v>
      </c>
      <c r="DQ93" s="278">
        <v>0</v>
      </c>
      <c r="DR93" s="278">
        <v>0</v>
      </c>
      <c r="DS93" s="278">
        <v>0</v>
      </c>
      <c r="DT93" s="278">
        <v>0</v>
      </c>
      <c r="DU93" s="278">
        <v>0</v>
      </c>
      <c r="DV93" s="278">
        <v>0</v>
      </c>
      <c r="DW93" s="294" t="s">
        <v>342</v>
      </c>
    </row>
    <row r="94" spans="1:127" ht="10.5" hidden="1" outlineLevel="1">
      <c r="A94" s="16" t="s">
        <v>144</v>
      </c>
      <c r="B94" s="40">
        <v>11</v>
      </c>
      <c r="C94" s="41" t="s">
        <v>145</v>
      </c>
      <c r="D94" s="41"/>
      <c r="E94" s="41"/>
      <c r="F94" s="41"/>
      <c r="G94" s="41"/>
      <c r="H94" s="41"/>
      <c r="I94" s="41"/>
      <c r="J94" s="41"/>
      <c r="K94" s="41"/>
      <c r="L94" s="43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271">
        <v>0</v>
      </c>
      <c r="DG94" s="272">
        <v>0</v>
      </c>
      <c r="DH94" s="272">
        <v>0</v>
      </c>
      <c r="DI94" s="272">
        <v>0</v>
      </c>
      <c r="DJ94" s="272">
        <v>0</v>
      </c>
      <c r="DK94" s="272">
        <v>0</v>
      </c>
      <c r="DL94" s="272">
        <v>0</v>
      </c>
      <c r="DM94" s="272">
        <v>0</v>
      </c>
      <c r="DN94" s="272">
        <v>0</v>
      </c>
      <c r="DO94" s="272">
        <v>0</v>
      </c>
      <c r="DP94" s="272">
        <v>0</v>
      </c>
      <c r="DQ94" s="272">
        <v>0</v>
      </c>
      <c r="DR94" s="272">
        <v>0</v>
      </c>
      <c r="DS94" s="272">
        <v>0</v>
      </c>
      <c r="DT94" s="272">
        <v>0</v>
      </c>
      <c r="DU94" s="272">
        <v>0</v>
      </c>
      <c r="DV94" s="272">
        <v>0</v>
      </c>
      <c r="DW94" s="286" t="s">
        <v>342</v>
      </c>
    </row>
    <row r="95" spans="2:127" ht="10.5" hidden="1" outlineLevel="1">
      <c r="B95" s="30"/>
      <c r="C95" s="41" t="s">
        <v>147</v>
      </c>
      <c r="D95" s="41"/>
      <c r="E95" s="41"/>
      <c r="F95" s="41"/>
      <c r="G95" s="41"/>
      <c r="H95" s="41"/>
      <c r="I95" s="41"/>
      <c r="J95" s="41"/>
      <c r="K95" s="41"/>
      <c r="L95" s="43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273">
        <v>0</v>
      </c>
      <c r="DG95" s="274">
        <v>0</v>
      </c>
      <c r="DH95" s="274">
        <v>0</v>
      </c>
      <c r="DI95" s="274">
        <v>0</v>
      </c>
      <c r="DJ95" s="274">
        <v>0</v>
      </c>
      <c r="DK95" s="274">
        <v>0</v>
      </c>
      <c r="DL95" s="274">
        <v>0</v>
      </c>
      <c r="DM95" s="274">
        <v>0</v>
      </c>
      <c r="DN95" s="274">
        <v>0</v>
      </c>
      <c r="DO95" s="274">
        <v>0</v>
      </c>
      <c r="DP95" s="274">
        <v>0</v>
      </c>
      <c r="DQ95" s="274">
        <v>0</v>
      </c>
      <c r="DR95" s="274">
        <v>0</v>
      </c>
      <c r="DS95" s="274">
        <v>0</v>
      </c>
      <c r="DT95" s="274">
        <v>0</v>
      </c>
      <c r="DU95" s="274">
        <v>0</v>
      </c>
      <c r="DV95" s="274">
        <v>0</v>
      </c>
      <c r="DW95" s="283" t="s">
        <v>342</v>
      </c>
    </row>
    <row r="96" spans="2:127" ht="10.5" hidden="1" outlineLevel="1">
      <c r="B96" s="30"/>
      <c r="C96" s="41" t="s">
        <v>149</v>
      </c>
      <c r="D96" s="41"/>
      <c r="E96" s="41"/>
      <c r="F96" s="41"/>
      <c r="G96" s="41"/>
      <c r="H96" s="41"/>
      <c r="I96" s="41"/>
      <c r="J96" s="41"/>
      <c r="K96" s="41"/>
      <c r="L96" s="43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273">
        <v>0</v>
      </c>
      <c r="DG96" s="274">
        <v>0</v>
      </c>
      <c r="DH96" s="274">
        <v>0</v>
      </c>
      <c r="DI96" s="274">
        <v>0</v>
      </c>
      <c r="DJ96" s="274">
        <v>0</v>
      </c>
      <c r="DK96" s="274">
        <v>0</v>
      </c>
      <c r="DL96" s="274">
        <v>0</v>
      </c>
      <c r="DM96" s="274">
        <v>0</v>
      </c>
      <c r="DN96" s="274">
        <v>0</v>
      </c>
      <c r="DO96" s="274">
        <v>0</v>
      </c>
      <c r="DP96" s="274">
        <v>0</v>
      </c>
      <c r="DQ96" s="274">
        <v>0</v>
      </c>
      <c r="DR96" s="274">
        <v>0</v>
      </c>
      <c r="DS96" s="274">
        <v>0</v>
      </c>
      <c r="DT96" s="274">
        <v>0</v>
      </c>
      <c r="DU96" s="274">
        <v>0</v>
      </c>
      <c r="DV96" s="274">
        <v>0</v>
      </c>
      <c r="DW96" s="283" t="s">
        <v>342</v>
      </c>
    </row>
    <row r="97" spans="2:127" ht="10.5" hidden="1" outlineLevel="1">
      <c r="B97" s="30"/>
      <c r="C97" s="41" t="s">
        <v>151</v>
      </c>
      <c r="D97" s="41"/>
      <c r="E97" s="41"/>
      <c r="F97" s="41"/>
      <c r="G97" s="41"/>
      <c r="H97" s="41"/>
      <c r="I97" s="41"/>
      <c r="J97" s="41"/>
      <c r="K97" s="41"/>
      <c r="L97" s="43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273">
        <v>0</v>
      </c>
      <c r="DG97" s="274">
        <v>0</v>
      </c>
      <c r="DH97" s="274">
        <v>0</v>
      </c>
      <c r="DI97" s="274">
        <v>0</v>
      </c>
      <c r="DJ97" s="274">
        <v>0</v>
      </c>
      <c r="DK97" s="274">
        <v>0</v>
      </c>
      <c r="DL97" s="274">
        <v>0</v>
      </c>
      <c r="DM97" s="274">
        <v>0</v>
      </c>
      <c r="DN97" s="274">
        <v>0</v>
      </c>
      <c r="DO97" s="274">
        <v>0</v>
      </c>
      <c r="DP97" s="274">
        <v>0</v>
      </c>
      <c r="DQ97" s="274">
        <v>0</v>
      </c>
      <c r="DR97" s="274">
        <v>0</v>
      </c>
      <c r="DS97" s="274">
        <v>0</v>
      </c>
      <c r="DT97" s="274">
        <v>0</v>
      </c>
      <c r="DU97" s="274">
        <v>0</v>
      </c>
      <c r="DV97" s="274">
        <v>0</v>
      </c>
      <c r="DW97" s="283" t="s">
        <v>342</v>
      </c>
    </row>
    <row r="98" spans="2:127" ht="10.5" hidden="1" outlineLevel="1">
      <c r="B98" s="30"/>
      <c r="C98" s="41" t="s">
        <v>153</v>
      </c>
      <c r="D98" s="41"/>
      <c r="E98" s="41"/>
      <c r="F98" s="41"/>
      <c r="G98" s="41"/>
      <c r="H98" s="41"/>
      <c r="I98" s="41"/>
      <c r="J98" s="41"/>
      <c r="K98" s="41"/>
      <c r="L98" s="43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273">
        <v>0</v>
      </c>
      <c r="DG98" s="274">
        <v>0</v>
      </c>
      <c r="DH98" s="274">
        <v>0</v>
      </c>
      <c r="DI98" s="274">
        <v>0</v>
      </c>
      <c r="DJ98" s="274">
        <v>0</v>
      </c>
      <c r="DK98" s="274">
        <v>0</v>
      </c>
      <c r="DL98" s="274">
        <v>0</v>
      </c>
      <c r="DM98" s="274">
        <v>0</v>
      </c>
      <c r="DN98" s="274">
        <v>0</v>
      </c>
      <c r="DO98" s="274">
        <v>0</v>
      </c>
      <c r="DP98" s="274">
        <v>0</v>
      </c>
      <c r="DQ98" s="274">
        <v>0</v>
      </c>
      <c r="DR98" s="274">
        <v>0</v>
      </c>
      <c r="DS98" s="274">
        <v>0</v>
      </c>
      <c r="DT98" s="274">
        <v>0</v>
      </c>
      <c r="DU98" s="274">
        <v>0</v>
      </c>
      <c r="DV98" s="274">
        <v>0</v>
      </c>
      <c r="DW98" s="283" t="s">
        <v>342</v>
      </c>
    </row>
    <row r="99" spans="2:127" ht="10.5" hidden="1" outlineLevel="1">
      <c r="B99" s="30"/>
      <c r="C99" s="41" t="s">
        <v>155</v>
      </c>
      <c r="D99" s="41"/>
      <c r="E99" s="41"/>
      <c r="F99" s="41"/>
      <c r="G99" s="41"/>
      <c r="H99" s="41"/>
      <c r="I99" s="41"/>
      <c r="J99" s="41"/>
      <c r="K99" s="41"/>
      <c r="L99" s="43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273">
        <v>0</v>
      </c>
      <c r="DG99" s="274">
        <v>0</v>
      </c>
      <c r="DH99" s="274">
        <v>0</v>
      </c>
      <c r="DI99" s="274">
        <v>0</v>
      </c>
      <c r="DJ99" s="274">
        <v>0</v>
      </c>
      <c r="DK99" s="274">
        <v>0</v>
      </c>
      <c r="DL99" s="274">
        <v>0</v>
      </c>
      <c r="DM99" s="274">
        <v>0</v>
      </c>
      <c r="DN99" s="274">
        <v>0</v>
      </c>
      <c r="DO99" s="274">
        <v>0</v>
      </c>
      <c r="DP99" s="274">
        <v>0</v>
      </c>
      <c r="DQ99" s="274">
        <v>0</v>
      </c>
      <c r="DR99" s="274">
        <v>0</v>
      </c>
      <c r="DS99" s="274">
        <v>0</v>
      </c>
      <c r="DT99" s="274">
        <v>0</v>
      </c>
      <c r="DU99" s="274">
        <v>0</v>
      </c>
      <c r="DV99" s="274">
        <v>0</v>
      </c>
      <c r="DW99" s="283" t="s">
        <v>342</v>
      </c>
    </row>
    <row r="100" spans="2:127" ht="10.5" hidden="1" outlineLevel="1">
      <c r="B100" s="30"/>
      <c r="C100" s="41" t="s">
        <v>157</v>
      </c>
      <c r="D100" s="41"/>
      <c r="E100" s="41"/>
      <c r="F100" s="41"/>
      <c r="G100" s="41"/>
      <c r="H100" s="41"/>
      <c r="I100" s="41"/>
      <c r="J100" s="41"/>
      <c r="K100" s="41"/>
      <c r="L100" s="43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273">
        <v>0</v>
      </c>
      <c r="DG100" s="274">
        <v>0</v>
      </c>
      <c r="DH100" s="274">
        <v>0</v>
      </c>
      <c r="DI100" s="274">
        <v>0</v>
      </c>
      <c r="DJ100" s="274">
        <v>0</v>
      </c>
      <c r="DK100" s="274">
        <v>0</v>
      </c>
      <c r="DL100" s="274">
        <v>0</v>
      </c>
      <c r="DM100" s="274">
        <v>0</v>
      </c>
      <c r="DN100" s="274">
        <v>0</v>
      </c>
      <c r="DO100" s="274">
        <v>0</v>
      </c>
      <c r="DP100" s="274">
        <v>0</v>
      </c>
      <c r="DQ100" s="274">
        <v>0</v>
      </c>
      <c r="DR100" s="274">
        <v>0</v>
      </c>
      <c r="DS100" s="274">
        <v>0</v>
      </c>
      <c r="DT100" s="274">
        <v>0</v>
      </c>
      <c r="DU100" s="274">
        <v>0</v>
      </c>
      <c r="DV100" s="274">
        <v>0</v>
      </c>
      <c r="DW100" s="283" t="s">
        <v>342</v>
      </c>
    </row>
    <row r="101" spans="2:127" ht="10.5" hidden="1" outlineLevel="1">
      <c r="B101" s="30"/>
      <c r="C101" s="40" t="s">
        <v>160</v>
      </c>
      <c r="D101" s="40"/>
      <c r="E101" s="40"/>
      <c r="F101" s="40"/>
      <c r="G101" s="40"/>
      <c r="H101" s="40"/>
      <c r="I101" s="40"/>
      <c r="J101" s="40"/>
      <c r="K101" s="40"/>
      <c r="L101" s="42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277">
        <v>0</v>
      </c>
      <c r="DG101" s="278">
        <v>0</v>
      </c>
      <c r="DH101" s="278">
        <v>0</v>
      </c>
      <c r="DI101" s="278">
        <v>0</v>
      </c>
      <c r="DJ101" s="278">
        <v>0</v>
      </c>
      <c r="DK101" s="278">
        <v>0</v>
      </c>
      <c r="DL101" s="278">
        <v>0</v>
      </c>
      <c r="DM101" s="278">
        <v>0</v>
      </c>
      <c r="DN101" s="278">
        <v>0</v>
      </c>
      <c r="DO101" s="278">
        <v>0</v>
      </c>
      <c r="DP101" s="278">
        <v>0</v>
      </c>
      <c r="DQ101" s="278">
        <v>0</v>
      </c>
      <c r="DR101" s="278">
        <v>0</v>
      </c>
      <c r="DS101" s="278">
        <v>0</v>
      </c>
      <c r="DT101" s="278">
        <v>0</v>
      </c>
      <c r="DU101" s="278">
        <v>0</v>
      </c>
      <c r="DV101" s="278">
        <v>0</v>
      </c>
      <c r="DW101" s="294" t="s">
        <v>342</v>
      </c>
    </row>
    <row r="102" spans="1:127" ht="10.5" hidden="1" outlineLevel="1">
      <c r="A102" s="16" t="s">
        <v>144</v>
      </c>
      <c r="B102" s="40">
        <v>12</v>
      </c>
      <c r="C102" s="41" t="s">
        <v>145</v>
      </c>
      <c r="D102" s="41"/>
      <c r="E102" s="41"/>
      <c r="F102" s="41"/>
      <c r="G102" s="41"/>
      <c r="H102" s="41"/>
      <c r="I102" s="41"/>
      <c r="J102" s="41"/>
      <c r="K102" s="41"/>
      <c r="L102" s="43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271">
        <v>0</v>
      </c>
      <c r="DG102" s="272">
        <v>0</v>
      </c>
      <c r="DH102" s="272">
        <v>0</v>
      </c>
      <c r="DI102" s="272">
        <v>0</v>
      </c>
      <c r="DJ102" s="272">
        <v>0</v>
      </c>
      <c r="DK102" s="272">
        <v>0</v>
      </c>
      <c r="DL102" s="272">
        <v>0</v>
      </c>
      <c r="DM102" s="272">
        <v>0</v>
      </c>
      <c r="DN102" s="272">
        <v>0</v>
      </c>
      <c r="DO102" s="272">
        <v>0</v>
      </c>
      <c r="DP102" s="272">
        <v>0</v>
      </c>
      <c r="DQ102" s="272">
        <v>0</v>
      </c>
      <c r="DR102" s="272">
        <v>0</v>
      </c>
      <c r="DS102" s="272">
        <v>0</v>
      </c>
      <c r="DT102" s="272">
        <v>0</v>
      </c>
      <c r="DU102" s="272">
        <v>0</v>
      </c>
      <c r="DV102" s="272">
        <v>0</v>
      </c>
      <c r="DW102" s="286" t="s">
        <v>342</v>
      </c>
    </row>
    <row r="103" spans="2:127" ht="10.5" hidden="1" outlineLevel="1">
      <c r="B103" s="30"/>
      <c r="C103" s="41" t="s">
        <v>147</v>
      </c>
      <c r="D103" s="41"/>
      <c r="E103" s="41"/>
      <c r="F103" s="41"/>
      <c r="G103" s="41"/>
      <c r="H103" s="41"/>
      <c r="I103" s="41"/>
      <c r="J103" s="41"/>
      <c r="K103" s="41"/>
      <c r="L103" s="43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273">
        <v>0</v>
      </c>
      <c r="DG103" s="274">
        <v>0</v>
      </c>
      <c r="DH103" s="274">
        <v>0</v>
      </c>
      <c r="DI103" s="274">
        <v>0</v>
      </c>
      <c r="DJ103" s="274">
        <v>0</v>
      </c>
      <c r="DK103" s="274">
        <v>0</v>
      </c>
      <c r="DL103" s="274">
        <v>0</v>
      </c>
      <c r="DM103" s="274">
        <v>0</v>
      </c>
      <c r="DN103" s="274">
        <v>0</v>
      </c>
      <c r="DO103" s="274">
        <v>0</v>
      </c>
      <c r="DP103" s="274">
        <v>0</v>
      </c>
      <c r="DQ103" s="274">
        <v>0</v>
      </c>
      <c r="DR103" s="274">
        <v>0</v>
      </c>
      <c r="DS103" s="274">
        <v>0</v>
      </c>
      <c r="DT103" s="274">
        <v>0</v>
      </c>
      <c r="DU103" s="274">
        <v>0</v>
      </c>
      <c r="DV103" s="274">
        <v>0</v>
      </c>
      <c r="DW103" s="283" t="s">
        <v>342</v>
      </c>
    </row>
    <row r="104" spans="2:127" ht="10.5" hidden="1" outlineLevel="1">
      <c r="B104" s="30"/>
      <c r="C104" s="41" t="s">
        <v>149</v>
      </c>
      <c r="D104" s="41"/>
      <c r="E104" s="41"/>
      <c r="F104" s="41"/>
      <c r="G104" s="41"/>
      <c r="H104" s="41"/>
      <c r="I104" s="41"/>
      <c r="J104" s="41"/>
      <c r="K104" s="41"/>
      <c r="L104" s="43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273">
        <v>0</v>
      </c>
      <c r="DG104" s="274">
        <v>0</v>
      </c>
      <c r="DH104" s="274">
        <v>0</v>
      </c>
      <c r="DI104" s="274">
        <v>0</v>
      </c>
      <c r="DJ104" s="274">
        <v>0</v>
      </c>
      <c r="DK104" s="274">
        <v>0</v>
      </c>
      <c r="DL104" s="274">
        <v>0</v>
      </c>
      <c r="DM104" s="274">
        <v>0</v>
      </c>
      <c r="DN104" s="274">
        <v>0</v>
      </c>
      <c r="DO104" s="274">
        <v>0</v>
      </c>
      <c r="DP104" s="274">
        <v>0</v>
      </c>
      <c r="DQ104" s="274">
        <v>0</v>
      </c>
      <c r="DR104" s="274">
        <v>0</v>
      </c>
      <c r="DS104" s="274">
        <v>0</v>
      </c>
      <c r="DT104" s="274">
        <v>0</v>
      </c>
      <c r="DU104" s="274">
        <v>0</v>
      </c>
      <c r="DV104" s="274">
        <v>0</v>
      </c>
      <c r="DW104" s="283" t="s">
        <v>342</v>
      </c>
    </row>
    <row r="105" spans="2:127" ht="10.5" hidden="1" outlineLevel="1">
      <c r="B105" s="30"/>
      <c r="C105" s="41" t="s">
        <v>151</v>
      </c>
      <c r="D105" s="41"/>
      <c r="E105" s="41"/>
      <c r="F105" s="41"/>
      <c r="G105" s="41"/>
      <c r="H105" s="41"/>
      <c r="I105" s="41"/>
      <c r="J105" s="41"/>
      <c r="K105" s="41"/>
      <c r="L105" s="43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273">
        <v>0</v>
      </c>
      <c r="DG105" s="274">
        <v>0</v>
      </c>
      <c r="DH105" s="274">
        <v>0</v>
      </c>
      <c r="DI105" s="274">
        <v>0</v>
      </c>
      <c r="DJ105" s="274">
        <v>0</v>
      </c>
      <c r="DK105" s="274">
        <v>0</v>
      </c>
      <c r="DL105" s="274">
        <v>0</v>
      </c>
      <c r="DM105" s="274">
        <v>0</v>
      </c>
      <c r="DN105" s="274">
        <v>0</v>
      </c>
      <c r="DO105" s="274">
        <v>0</v>
      </c>
      <c r="DP105" s="274">
        <v>0</v>
      </c>
      <c r="DQ105" s="274">
        <v>0</v>
      </c>
      <c r="DR105" s="274">
        <v>0</v>
      </c>
      <c r="DS105" s="274">
        <v>0</v>
      </c>
      <c r="DT105" s="274">
        <v>0</v>
      </c>
      <c r="DU105" s="274">
        <v>0</v>
      </c>
      <c r="DV105" s="274">
        <v>0</v>
      </c>
      <c r="DW105" s="283" t="s">
        <v>342</v>
      </c>
    </row>
    <row r="106" spans="2:127" ht="10.5" hidden="1" outlineLevel="1">
      <c r="B106" s="30"/>
      <c r="C106" s="41" t="s">
        <v>153</v>
      </c>
      <c r="D106" s="41"/>
      <c r="E106" s="41"/>
      <c r="F106" s="41"/>
      <c r="G106" s="41"/>
      <c r="H106" s="41"/>
      <c r="I106" s="41"/>
      <c r="J106" s="41"/>
      <c r="K106" s="41"/>
      <c r="L106" s="43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273">
        <v>0</v>
      </c>
      <c r="DG106" s="274">
        <v>0</v>
      </c>
      <c r="DH106" s="274">
        <v>0</v>
      </c>
      <c r="DI106" s="274">
        <v>0</v>
      </c>
      <c r="DJ106" s="274">
        <v>0</v>
      </c>
      <c r="DK106" s="274">
        <v>0</v>
      </c>
      <c r="DL106" s="274">
        <v>0</v>
      </c>
      <c r="DM106" s="274">
        <v>0</v>
      </c>
      <c r="DN106" s="274">
        <v>0</v>
      </c>
      <c r="DO106" s="274">
        <v>0</v>
      </c>
      <c r="DP106" s="274">
        <v>0</v>
      </c>
      <c r="DQ106" s="274">
        <v>0</v>
      </c>
      <c r="DR106" s="274">
        <v>0</v>
      </c>
      <c r="DS106" s="274">
        <v>0</v>
      </c>
      <c r="DT106" s="274">
        <v>0</v>
      </c>
      <c r="DU106" s="274">
        <v>0</v>
      </c>
      <c r="DV106" s="274">
        <v>0</v>
      </c>
      <c r="DW106" s="283" t="s">
        <v>342</v>
      </c>
    </row>
    <row r="107" spans="2:127" ht="10.5" hidden="1" outlineLevel="1">
      <c r="B107" s="30"/>
      <c r="C107" s="41" t="s">
        <v>155</v>
      </c>
      <c r="D107" s="41"/>
      <c r="E107" s="41"/>
      <c r="F107" s="41"/>
      <c r="G107" s="41"/>
      <c r="H107" s="41"/>
      <c r="I107" s="41"/>
      <c r="J107" s="41"/>
      <c r="K107" s="41"/>
      <c r="L107" s="43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273">
        <v>0</v>
      </c>
      <c r="DG107" s="274">
        <v>0</v>
      </c>
      <c r="DH107" s="274">
        <v>0</v>
      </c>
      <c r="DI107" s="274">
        <v>0</v>
      </c>
      <c r="DJ107" s="274">
        <v>0</v>
      </c>
      <c r="DK107" s="274">
        <v>0</v>
      </c>
      <c r="DL107" s="274">
        <v>0</v>
      </c>
      <c r="DM107" s="274">
        <v>0</v>
      </c>
      <c r="DN107" s="274">
        <v>0</v>
      </c>
      <c r="DO107" s="274">
        <v>0</v>
      </c>
      <c r="DP107" s="274">
        <v>0</v>
      </c>
      <c r="DQ107" s="274">
        <v>0</v>
      </c>
      <c r="DR107" s="274">
        <v>0</v>
      </c>
      <c r="DS107" s="274">
        <v>0</v>
      </c>
      <c r="DT107" s="274">
        <v>0</v>
      </c>
      <c r="DU107" s="274">
        <v>0</v>
      </c>
      <c r="DV107" s="274">
        <v>0</v>
      </c>
      <c r="DW107" s="283" t="s">
        <v>342</v>
      </c>
    </row>
    <row r="108" spans="2:127" ht="10.5" hidden="1" outlineLevel="1">
      <c r="B108" s="30"/>
      <c r="C108" s="41" t="s">
        <v>157</v>
      </c>
      <c r="D108" s="41"/>
      <c r="E108" s="41"/>
      <c r="F108" s="41"/>
      <c r="G108" s="41"/>
      <c r="H108" s="41"/>
      <c r="I108" s="41"/>
      <c r="J108" s="41"/>
      <c r="K108" s="41"/>
      <c r="L108" s="43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273">
        <v>0</v>
      </c>
      <c r="DG108" s="274">
        <v>0</v>
      </c>
      <c r="DH108" s="274">
        <v>0</v>
      </c>
      <c r="DI108" s="274">
        <v>0</v>
      </c>
      <c r="DJ108" s="274">
        <v>0</v>
      </c>
      <c r="DK108" s="274">
        <v>0</v>
      </c>
      <c r="DL108" s="274">
        <v>0</v>
      </c>
      <c r="DM108" s="274">
        <v>0</v>
      </c>
      <c r="DN108" s="274">
        <v>0</v>
      </c>
      <c r="DO108" s="274">
        <v>0</v>
      </c>
      <c r="DP108" s="274">
        <v>0</v>
      </c>
      <c r="DQ108" s="274">
        <v>0</v>
      </c>
      <c r="DR108" s="274">
        <v>0</v>
      </c>
      <c r="DS108" s="274">
        <v>0</v>
      </c>
      <c r="DT108" s="274">
        <v>0</v>
      </c>
      <c r="DU108" s="274">
        <v>0</v>
      </c>
      <c r="DV108" s="274">
        <v>0</v>
      </c>
      <c r="DW108" s="283" t="s">
        <v>342</v>
      </c>
    </row>
    <row r="109" spans="2:127" ht="10.5" hidden="1" outlineLevel="1">
      <c r="B109" s="30"/>
      <c r="C109" s="40" t="s">
        <v>160</v>
      </c>
      <c r="D109" s="40"/>
      <c r="E109" s="40"/>
      <c r="F109" s="40"/>
      <c r="G109" s="40"/>
      <c r="H109" s="40"/>
      <c r="I109" s="40"/>
      <c r="J109" s="40"/>
      <c r="K109" s="40"/>
      <c r="L109" s="42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277">
        <v>0</v>
      </c>
      <c r="DG109" s="278">
        <v>0</v>
      </c>
      <c r="DH109" s="278">
        <v>0</v>
      </c>
      <c r="DI109" s="278">
        <v>0</v>
      </c>
      <c r="DJ109" s="278">
        <v>0</v>
      </c>
      <c r="DK109" s="278">
        <v>0</v>
      </c>
      <c r="DL109" s="278">
        <v>0</v>
      </c>
      <c r="DM109" s="278">
        <v>0</v>
      </c>
      <c r="DN109" s="278">
        <v>0</v>
      </c>
      <c r="DO109" s="278">
        <v>0</v>
      </c>
      <c r="DP109" s="278">
        <v>0</v>
      </c>
      <c r="DQ109" s="278">
        <v>0</v>
      </c>
      <c r="DR109" s="278">
        <v>0</v>
      </c>
      <c r="DS109" s="278">
        <v>0</v>
      </c>
      <c r="DT109" s="278">
        <v>0</v>
      </c>
      <c r="DU109" s="278">
        <v>0</v>
      </c>
      <c r="DV109" s="278">
        <v>0</v>
      </c>
      <c r="DW109" s="294" t="s">
        <v>342</v>
      </c>
    </row>
    <row r="110" spans="2:127" ht="10.5" hidden="1" outlineLevel="1">
      <c r="B110" s="30"/>
      <c r="C110" s="30"/>
      <c r="D110" s="42">
        <v>0</v>
      </c>
      <c r="E110" s="30" t="s">
        <v>146</v>
      </c>
      <c r="F110" s="30" t="s">
        <v>148</v>
      </c>
      <c r="G110" s="30" t="s">
        <v>150</v>
      </c>
      <c r="H110" s="30" t="s">
        <v>152</v>
      </c>
      <c r="I110" s="30" t="s">
        <v>154</v>
      </c>
      <c r="J110" s="30" t="s">
        <v>156</v>
      </c>
      <c r="K110" s="30" t="s">
        <v>158</v>
      </c>
      <c r="L110" s="42">
        <v>1</v>
      </c>
      <c r="M110" s="30" t="s">
        <v>146</v>
      </c>
      <c r="N110" s="30" t="s">
        <v>148</v>
      </c>
      <c r="O110" s="30" t="s">
        <v>150</v>
      </c>
      <c r="P110" s="30" t="s">
        <v>152</v>
      </c>
      <c r="Q110" s="30" t="s">
        <v>154</v>
      </c>
      <c r="R110" s="30" t="s">
        <v>156</v>
      </c>
      <c r="S110" s="30" t="s">
        <v>158</v>
      </c>
      <c r="T110" s="42">
        <v>2</v>
      </c>
      <c r="U110" s="30" t="s">
        <v>146</v>
      </c>
      <c r="V110" s="30" t="s">
        <v>148</v>
      </c>
      <c r="W110" s="30" t="s">
        <v>150</v>
      </c>
      <c r="X110" s="30" t="s">
        <v>152</v>
      </c>
      <c r="Y110" s="30" t="s">
        <v>154</v>
      </c>
      <c r="Z110" s="30" t="s">
        <v>156</v>
      </c>
      <c r="AA110" s="30" t="s">
        <v>158</v>
      </c>
      <c r="AB110" s="42">
        <v>3</v>
      </c>
      <c r="AC110" s="30" t="s">
        <v>146</v>
      </c>
      <c r="AD110" s="30" t="s">
        <v>148</v>
      </c>
      <c r="AE110" s="30" t="s">
        <v>150</v>
      </c>
      <c r="AF110" s="30" t="s">
        <v>152</v>
      </c>
      <c r="AG110" s="30" t="s">
        <v>154</v>
      </c>
      <c r="AH110" s="30" t="s">
        <v>156</v>
      </c>
      <c r="AI110" s="30" t="s">
        <v>158</v>
      </c>
      <c r="AJ110" s="42">
        <v>4</v>
      </c>
      <c r="AK110" s="30" t="s">
        <v>146</v>
      </c>
      <c r="AL110" s="30" t="s">
        <v>148</v>
      </c>
      <c r="AM110" s="30" t="s">
        <v>150</v>
      </c>
      <c r="AN110" s="30" t="s">
        <v>152</v>
      </c>
      <c r="AO110" s="30" t="s">
        <v>154</v>
      </c>
      <c r="AP110" s="30" t="s">
        <v>156</v>
      </c>
      <c r="AQ110" s="30" t="s">
        <v>158</v>
      </c>
      <c r="AR110" s="42">
        <v>5</v>
      </c>
      <c r="AS110" s="30" t="s">
        <v>146</v>
      </c>
      <c r="AT110" s="30" t="s">
        <v>148</v>
      </c>
      <c r="AU110" s="30" t="s">
        <v>150</v>
      </c>
      <c r="AV110" s="30" t="s">
        <v>152</v>
      </c>
      <c r="AW110" s="30" t="s">
        <v>154</v>
      </c>
      <c r="AX110" s="30" t="s">
        <v>156</v>
      </c>
      <c r="AY110" s="30" t="s">
        <v>158</v>
      </c>
      <c r="AZ110" s="42">
        <v>6</v>
      </c>
      <c r="BA110" s="30" t="s">
        <v>146</v>
      </c>
      <c r="BB110" s="30" t="s">
        <v>148</v>
      </c>
      <c r="BC110" s="30" t="s">
        <v>150</v>
      </c>
      <c r="BD110" s="30" t="s">
        <v>152</v>
      </c>
      <c r="BE110" s="30" t="s">
        <v>154</v>
      </c>
      <c r="BF110" s="30" t="s">
        <v>156</v>
      </c>
      <c r="BG110" s="30" t="s">
        <v>158</v>
      </c>
      <c r="BH110" s="42">
        <v>7</v>
      </c>
      <c r="BI110" s="30" t="s">
        <v>146</v>
      </c>
      <c r="BJ110" s="30" t="s">
        <v>148</v>
      </c>
      <c r="BK110" s="30" t="s">
        <v>150</v>
      </c>
      <c r="BL110" s="30" t="s">
        <v>152</v>
      </c>
      <c r="BM110" s="30" t="s">
        <v>154</v>
      </c>
      <c r="BN110" s="30" t="s">
        <v>156</v>
      </c>
      <c r="BO110" s="30" t="s">
        <v>158</v>
      </c>
      <c r="BP110" s="42">
        <v>8</v>
      </c>
      <c r="BQ110" s="30" t="s">
        <v>146</v>
      </c>
      <c r="BR110" s="30" t="s">
        <v>148</v>
      </c>
      <c r="BS110" s="30" t="s">
        <v>150</v>
      </c>
      <c r="BT110" s="30" t="s">
        <v>152</v>
      </c>
      <c r="BU110" s="30" t="s">
        <v>154</v>
      </c>
      <c r="BV110" s="30" t="s">
        <v>156</v>
      </c>
      <c r="BW110" s="30" t="s">
        <v>158</v>
      </c>
      <c r="BX110" s="42">
        <v>9</v>
      </c>
      <c r="BY110" s="30" t="s">
        <v>146</v>
      </c>
      <c r="BZ110" s="30" t="s">
        <v>148</v>
      </c>
      <c r="CA110" s="30" t="s">
        <v>150</v>
      </c>
      <c r="CB110" s="30" t="s">
        <v>152</v>
      </c>
      <c r="CC110" s="30" t="s">
        <v>154</v>
      </c>
      <c r="CD110" s="30" t="s">
        <v>156</v>
      </c>
      <c r="CE110" s="30" t="s">
        <v>158</v>
      </c>
      <c r="CF110" s="42">
        <v>10</v>
      </c>
      <c r="CG110" s="30" t="s">
        <v>146</v>
      </c>
      <c r="CH110" s="30" t="s">
        <v>148</v>
      </c>
      <c r="CI110" s="30" t="s">
        <v>150</v>
      </c>
      <c r="CJ110" s="30" t="s">
        <v>152</v>
      </c>
      <c r="CK110" s="30" t="s">
        <v>154</v>
      </c>
      <c r="CL110" s="30" t="s">
        <v>156</v>
      </c>
      <c r="CM110" s="30" t="s">
        <v>158</v>
      </c>
      <c r="CN110" s="42">
        <v>11</v>
      </c>
      <c r="CO110" s="30" t="s">
        <v>146</v>
      </c>
      <c r="CP110" s="30" t="s">
        <v>148</v>
      </c>
      <c r="CQ110" s="30" t="s">
        <v>150</v>
      </c>
      <c r="CR110" s="30" t="s">
        <v>152</v>
      </c>
      <c r="CS110" s="30" t="s">
        <v>154</v>
      </c>
      <c r="CT110" s="30" t="s">
        <v>156</v>
      </c>
      <c r="CU110" s="30" t="s">
        <v>158</v>
      </c>
      <c r="CV110" s="42">
        <v>12</v>
      </c>
      <c r="CW110" s="30" t="s">
        <v>146</v>
      </c>
      <c r="CX110" s="30" t="s">
        <v>148</v>
      </c>
      <c r="CY110" s="30" t="s">
        <v>150</v>
      </c>
      <c r="CZ110" s="30" t="s">
        <v>152</v>
      </c>
      <c r="DA110" s="30" t="s">
        <v>154</v>
      </c>
      <c r="DB110" s="30" t="s">
        <v>156</v>
      </c>
      <c r="DC110" s="30" t="s">
        <v>158</v>
      </c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</row>
    <row r="111" spans="2:127" ht="10.5" hidden="1" outlineLevel="1">
      <c r="B111" s="30"/>
      <c r="C111" s="40"/>
      <c r="D111" s="40"/>
      <c r="E111" s="40"/>
      <c r="F111" s="40"/>
      <c r="G111" s="40"/>
      <c r="H111" s="40"/>
      <c r="I111" s="40"/>
      <c r="J111" s="40"/>
      <c r="K111" s="40"/>
      <c r="L111" s="42"/>
      <c r="M111" s="44"/>
      <c r="N111" s="30"/>
      <c r="O111" s="30"/>
      <c r="P111" s="30"/>
      <c r="Q111" s="30"/>
      <c r="R111" s="30"/>
      <c r="S111" s="30"/>
      <c r="T111" s="42"/>
      <c r="U111" s="44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</row>
    <row r="112" spans="2:127" ht="10.5" hidden="1" outlineLevel="1">
      <c r="B112" s="30"/>
      <c r="C112" s="30"/>
      <c r="D112" s="30"/>
      <c r="E112" s="289"/>
      <c r="F112" s="285"/>
      <c r="G112" s="285"/>
      <c r="H112" s="285"/>
      <c r="I112" s="285"/>
      <c r="J112" s="285"/>
      <c r="K112" s="286"/>
      <c r="L112" s="284">
        <v>0</v>
      </c>
      <c r="M112" s="285"/>
      <c r="N112" s="285"/>
      <c r="O112" s="285"/>
      <c r="P112" s="285"/>
      <c r="Q112" s="285"/>
      <c r="R112" s="285"/>
      <c r="S112" s="286"/>
      <c r="T112" s="284">
        <v>0</v>
      </c>
      <c r="U112" s="285"/>
      <c r="V112" s="285"/>
      <c r="W112" s="285"/>
      <c r="X112" s="285"/>
      <c r="Y112" s="285"/>
      <c r="Z112" s="285"/>
      <c r="AA112" s="286"/>
      <c r="AB112" s="284">
        <v>0</v>
      </c>
      <c r="AC112" s="285"/>
      <c r="AD112" s="285"/>
      <c r="AE112" s="285"/>
      <c r="AF112" s="285"/>
      <c r="AG112" s="285"/>
      <c r="AH112" s="285"/>
      <c r="AI112" s="286"/>
      <c r="AJ112" s="284">
        <v>0</v>
      </c>
      <c r="AK112" s="285"/>
      <c r="AL112" s="285"/>
      <c r="AM112" s="285"/>
      <c r="AN112" s="285"/>
      <c r="AO112" s="285"/>
      <c r="AP112" s="285"/>
      <c r="AQ112" s="286"/>
      <c r="AR112" s="284">
        <v>0</v>
      </c>
      <c r="AS112" s="285"/>
      <c r="AT112" s="285"/>
      <c r="AU112" s="285"/>
      <c r="AV112" s="285"/>
      <c r="AW112" s="285"/>
      <c r="AX112" s="285"/>
      <c r="AY112" s="286"/>
      <c r="AZ112" s="284">
        <v>0</v>
      </c>
      <c r="BA112" s="285"/>
      <c r="BB112" s="285"/>
      <c r="BC112" s="285"/>
      <c r="BD112" s="285"/>
      <c r="BE112" s="285"/>
      <c r="BF112" s="285"/>
      <c r="BG112" s="286"/>
      <c r="BH112" s="284">
        <v>0</v>
      </c>
      <c r="BI112" s="285"/>
      <c r="BJ112" s="285"/>
      <c r="BK112" s="285"/>
      <c r="BL112" s="285"/>
      <c r="BM112" s="285"/>
      <c r="BN112" s="285"/>
      <c r="BO112" s="286"/>
      <c r="BP112" s="284">
        <v>0</v>
      </c>
      <c r="BQ112" s="285"/>
      <c r="BR112" s="285"/>
      <c r="BS112" s="285"/>
      <c r="BT112" s="285"/>
      <c r="BU112" s="285"/>
      <c r="BV112" s="285"/>
      <c r="BW112" s="286"/>
      <c r="BX112" s="284">
        <v>0</v>
      </c>
      <c r="BY112" s="285"/>
      <c r="BZ112" s="285"/>
      <c r="CA112" s="285"/>
      <c r="CB112" s="285"/>
      <c r="CC112" s="285"/>
      <c r="CD112" s="285"/>
      <c r="CE112" s="286"/>
      <c r="CF112" s="284">
        <v>0</v>
      </c>
      <c r="CG112" s="285"/>
      <c r="CH112" s="285"/>
      <c r="CI112" s="285"/>
      <c r="CJ112" s="285"/>
      <c r="CK112" s="285"/>
      <c r="CL112" s="285"/>
      <c r="CM112" s="286"/>
      <c r="CN112" s="284">
        <v>0</v>
      </c>
      <c r="CO112" s="285"/>
      <c r="CP112" s="285"/>
      <c r="CQ112" s="285"/>
      <c r="CR112" s="285"/>
      <c r="CS112" s="285"/>
      <c r="CT112" s="285"/>
      <c r="CU112" s="286"/>
      <c r="CV112" s="284">
        <v>0</v>
      </c>
      <c r="CW112" s="285"/>
      <c r="CX112" s="285"/>
      <c r="CY112" s="285"/>
      <c r="CZ112" s="285"/>
      <c r="DA112" s="285"/>
      <c r="DB112" s="285"/>
      <c r="DC112" s="286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</row>
    <row r="113" spans="2:127" ht="10.5" hidden="1" outlineLevel="1">
      <c r="B113" s="30"/>
      <c r="C113" s="30"/>
      <c r="D113" s="30"/>
      <c r="E113" s="282"/>
      <c r="F113" s="46"/>
      <c r="G113" s="46"/>
      <c r="H113" s="46"/>
      <c r="I113" s="46"/>
      <c r="J113" s="46"/>
      <c r="K113" s="283"/>
      <c r="L113" s="287"/>
      <c r="M113" s="46"/>
      <c r="N113" s="46"/>
      <c r="O113" s="46"/>
      <c r="P113" s="46"/>
      <c r="Q113" s="46"/>
      <c r="R113" s="46"/>
      <c r="S113" s="283"/>
      <c r="T113" s="287"/>
      <c r="U113" s="46"/>
      <c r="V113" s="46"/>
      <c r="W113" s="46"/>
      <c r="X113" s="46"/>
      <c r="Y113" s="46"/>
      <c r="Z113" s="46"/>
      <c r="AA113" s="283"/>
      <c r="AB113" s="287"/>
      <c r="AC113" s="46"/>
      <c r="AD113" s="46"/>
      <c r="AE113" s="46"/>
      <c r="AF113" s="46"/>
      <c r="AG113" s="46"/>
      <c r="AH113" s="46"/>
      <c r="AI113" s="283"/>
      <c r="AJ113" s="287"/>
      <c r="AK113" s="46"/>
      <c r="AL113" s="46"/>
      <c r="AM113" s="46"/>
      <c r="AN113" s="46"/>
      <c r="AO113" s="46"/>
      <c r="AP113" s="46"/>
      <c r="AQ113" s="283"/>
      <c r="AR113" s="287"/>
      <c r="AS113" s="46"/>
      <c r="AT113" s="46"/>
      <c r="AU113" s="46"/>
      <c r="AV113" s="46"/>
      <c r="AW113" s="46"/>
      <c r="AX113" s="46"/>
      <c r="AY113" s="283"/>
      <c r="AZ113" s="287"/>
      <c r="BA113" s="46"/>
      <c r="BB113" s="46"/>
      <c r="BC113" s="46"/>
      <c r="BD113" s="46"/>
      <c r="BE113" s="46"/>
      <c r="BF113" s="46"/>
      <c r="BG113" s="283"/>
      <c r="BH113" s="287"/>
      <c r="BI113" s="46"/>
      <c r="BJ113" s="46"/>
      <c r="BK113" s="46"/>
      <c r="BL113" s="46"/>
      <c r="BM113" s="46"/>
      <c r="BN113" s="46"/>
      <c r="BO113" s="283"/>
      <c r="BP113" s="287"/>
      <c r="BQ113" s="46"/>
      <c r="BR113" s="46"/>
      <c r="BS113" s="46"/>
      <c r="BT113" s="46"/>
      <c r="BU113" s="46"/>
      <c r="BV113" s="46"/>
      <c r="BW113" s="283"/>
      <c r="BX113" s="287"/>
      <c r="BY113" s="46"/>
      <c r="BZ113" s="46"/>
      <c r="CA113" s="46"/>
      <c r="CB113" s="46"/>
      <c r="CC113" s="46"/>
      <c r="CD113" s="46"/>
      <c r="CE113" s="283"/>
      <c r="CF113" s="287"/>
      <c r="CG113" s="46"/>
      <c r="CH113" s="46"/>
      <c r="CI113" s="46"/>
      <c r="CJ113" s="46"/>
      <c r="CK113" s="46"/>
      <c r="CL113" s="46"/>
      <c r="CM113" s="283"/>
      <c r="CN113" s="287"/>
      <c r="CO113" s="46"/>
      <c r="CP113" s="46"/>
      <c r="CQ113" s="46"/>
      <c r="CR113" s="46"/>
      <c r="CS113" s="46"/>
      <c r="CT113" s="46"/>
      <c r="CU113" s="283"/>
      <c r="CV113" s="287"/>
      <c r="CW113" s="46"/>
      <c r="CX113" s="46"/>
      <c r="CY113" s="46"/>
      <c r="CZ113" s="46"/>
      <c r="DA113" s="46"/>
      <c r="DB113" s="46"/>
      <c r="DC113" s="283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</row>
    <row r="114" spans="1:127" ht="10.5" collapsed="1">
      <c r="A114" s="27" t="s">
        <v>89</v>
      </c>
      <c r="B114" s="30"/>
      <c r="C114" s="16" t="s">
        <v>402</v>
      </c>
      <c r="D114" s="30"/>
      <c r="E114" s="279">
        <v>0</v>
      </c>
      <c r="F114" s="280">
        <v>0</v>
      </c>
      <c r="G114" s="280">
        <v>0</v>
      </c>
      <c r="H114" s="280">
        <v>0</v>
      </c>
      <c r="I114" s="280">
        <v>0</v>
      </c>
      <c r="J114" s="280">
        <v>0</v>
      </c>
      <c r="K114" s="281">
        <v>0</v>
      </c>
      <c r="L114" s="288">
        <v>0</v>
      </c>
      <c r="M114" s="280">
        <v>0</v>
      </c>
      <c r="N114" s="280">
        <v>0</v>
      </c>
      <c r="O114" s="280">
        <v>0</v>
      </c>
      <c r="P114" s="280">
        <v>0</v>
      </c>
      <c r="Q114" s="280">
        <v>0</v>
      </c>
      <c r="R114" s="280">
        <v>0</v>
      </c>
      <c r="S114" s="281">
        <v>0</v>
      </c>
      <c r="T114" s="288">
        <v>0</v>
      </c>
      <c r="U114" s="280">
        <v>0</v>
      </c>
      <c r="V114" s="280">
        <v>0</v>
      </c>
      <c r="W114" s="280">
        <v>0</v>
      </c>
      <c r="X114" s="280">
        <v>0</v>
      </c>
      <c r="Y114" s="280">
        <v>0</v>
      </c>
      <c r="Z114" s="280">
        <v>0</v>
      </c>
      <c r="AA114" s="281">
        <v>0</v>
      </c>
      <c r="AB114" s="288">
        <v>0</v>
      </c>
      <c r="AC114" s="280">
        <v>0</v>
      </c>
      <c r="AD114" s="280">
        <v>0</v>
      </c>
      <c r="AE114" s="280">
        <v>0</v>
      </c>
      <c r="AF114" s="280">
        <v>0</v>
      </c>
      <c r="AG114" s="280">
        <v>0</v>
      </c>
      <c r="AH114" s="280">
        <v>0</v>
      </c>
      <c r="AI114" s="281">
        <v>0</v>
      </c>
      <c r="AJ114" s="288">
        <v>0</v>
      </c>
      <c r="AK114" s="280">
        <v>0</v>
      </c>
      <c r="AL114" s="280">
        <v>0</v>
      </c>
      <c r="AM114" s="280">
        <v>0</v>
      </c>
      <c r="AN114" s="280">
        <v>0</v>
      </c>
      <c r="AO114" s="280">
        <v>0</v>
      </c>
      <c r="AP114" s="280">
        <v>0</v>
      </c>
      <c r="AQ114" s="281">
        <v>0</v>
      </c>
      <c r="AR114" s="288">
        <v>0</v>
      </c>
      <c r="AS114" s="280">
        <v>0</v>
      </c>
      <c r="AT114" s="280">
        <v>0</v>
      </c>
      <c r="AU114" s="280">
        <v>0</v>
      </c>
      <c r="AV114" s="280">
        <v>0</v>
      </c>
      <c r="AW114" s="280">
        <v>0</v>
      </c>
      <c r="AX114" s="280">
        <v>0</v>
      </c>
      <c r="AY114" s="281">
        <v>0</v>
      </c>
      <c r="AZ114" s="288">
        <v>0</v>
      </c>
      <c r="BA114" s="280">
        <v>0</v>
      </c>
      <c r="BB114" s="280">
        <v>0</v>
      </c>
      <c r="BC114" s="280">
        <v>0</v>
      </c>
      <c r="BD114" s="280">
        <v>0</v>
      </c>
      <c r="BE114" s="280">
        <v>0</v>
      </c>
      <c r="BF114" s="280">
        <v>0</v>
      </c>
      <c r="BG114" s="281">
        <v>0</v>
      </c>
      <c r="BH114" s="288">
        <v>0</v>
      </c>
      <c r="BI114" s="280">
        <v>0</v>
      </c>
      <c r="BJ114" s="280">
        <v>0</v>
      </c>
      <c r="BK114" s="280">
        <v>0</v>
      </c>
      <c r="BL114" s="280">
        <v>0</v>
      </c>
      <c r="BM114" s="280">
        <v>0</v>
      </c>
      <c r="BN114" s="280">
        <v>0</v>
      </c>
      <c r="BO114" s="281">
        <v>0</v>
      </c>
      <c r="BP114" s="288">
        <v>0</v>
      </c>
      <c r="BQ114" s="280">
        <v>0</v>
      </c>
      <c r="BR114" s="280">
        <v>0</v>
      </c>
      <c r="BS114" s="280">
        <v>0</v>
      </c>
      <c r="BT114" s="280">
        <v>0</v>
      </c>
      <c r="BU114" s="280">
        <v>0</v>
      </c>
      <c r="BV114" s="280">
        <v>0</v>
      </c>
      <c r="BW114" s="281">
        <v>0</v>
      </c>
      <c r="BX114" s="288">
        <v>0</v>
      </c>
      <c r="BY114" s="280">
        <v>0</v>
      </c>
      <c r="BZ114" s="280">
        <v>0</v>
      </c>
      <c r="CA114" s="280">
        <v>0</v>
      </c>
      <c r="CB114" s="280">
        <v>0</v>
      </c>
      <c r="CC114" s="280">
        <v>0</v>
      </c>
      <c r="CD114" s="280">
        <v>0</v>
      </c>
      <c r="CE114" s="281">
        <v>0</v>
      </c>
      <c r="CF114" s="288">
        <v>0</v>
      </c>
      <c r="CG114" s="280">
        <v>0</v>
      </c>
      <c r="CH114" s="280">
        <v>0</v>
      </c>
      <c r="CI114" s="280">
        <v>0</v>
      </c>
      <c r="CJ114" s="280">
        <v>0</v>
      </c>
      <c r="CK114" s="280">
        <v>0</v>
      </c>
      <c r="CL114" s="280">
        <v>0</v>
      </c>
      <c r="CM114" s="281">
        <v>0</v>
      </c>
      <c r="CN114" s="288">
        <v>0</v>
      </c>
      <c r="CO114" s="280">
        <v>0</v>
      </c>
      <c r="CP114" s="280">
        <v>0</v>
      </c>
      <c r="CQ114" s="280">
        <v>0</v>
      </c>
      <c r="CR114" s="280">
        <v>0</v>
      </c>
      <c r="CS114" s="280">
        <v>0</v>
      </c>
      <c r="CT114" s="280">
        <v>0</v>
      </c>
      <c r="CU114" s="281">
        <v>0</v>
      </c>
      <c r="CV114" s="288">
        <v>0</v>
      </c>
      <c r="CW114" s="280">
        <v>0</v>
      </c>
      <c r="CX114" s="280">
        <v>0</v>
      </c>
      <c r="CY114" s="280">
        <v>0</v>
      </c>
      <c r="CZ114" s="280">
        <v>0</v>
      </c>
      <c r="DA114" s="280">
        <v>0</v>
      </c>
      <c r="DB114" s="280">
        <v>0</v>
      </c>
      <c r="DC114" s="281">
        <v>0</v>
      </c>
      <c r="DD114" s="30"/>
      <c r="DE114" s="30" t="s">
        <v>249</v>
      </c>
      <c r="DF114" s="259"/>
      <c r="DG114" s="260"/>
      <c r="DH114" s="260"/>
      <c r="DI114" s="260"/>
      <c r="DJ114" s="260"/>
      <c r="DK114" s="260"/>
      <c r="DL114" s="260"/>
      <c r="DM114" s="260"/>
      <c r="DN114" s="260"/>
      <c r="DO114" s="260"/>
      <c r="DP114" s="260"/>
      <c r="DQ114" s="260"/>
      <c r="DR114" s="260"/>
      <c r="DS114" s="260"/>
      <c r="DT114" s="260"/>
      <c r="DU114" s="260"/>
      <c r="DV114" s="260"/>
      <c r="DW114" s="261" t="s">
        <v>342</v>
      </c>
    </row>
    <row r="115" spans="1:127" ht="10.5">
      <c r="A115" s="27" t="s">
        <v>89</v>
      </c>
      <c r="B115" s="30"/>
      <c r="C115" s="16" t="s">
        <v>403</v>
      </c>
      <c r="D115" s="30"/>
      <c r="E115" s="279">
        <v>0</v>
      </c>
      <c r="F115" s="280">
        <v>0</v>
      </c>
      <c r="G115" s="280">
        <v>0</v>
      </c>
      <c r="H115" s="280">
        <v>0</v>
      </c>
      <c r="I115" s="280">
        <v>0</v>
      </c>
      <c r="J115" s="280">
        <v>0</v>
      </c>
      <c r="K115" s="281">
        <v>0</v>
      </c>
      <c r="L115" s="288">
        <v>0</v>
      </c>
      <c r="M115" s="280">
        <v>0</v>
      </c>
      <c r="N115" s="280">
        <v>0</v>
      </c>
      <c r="O115" s="280">
        <v>0</v>
      </c>
      <c r="P115" s="280">
        <v>0</v>
      </c>
      <c r="Q115" s="280">
        <v>0</v>
      </c>
      <c r="R115" s="280">
        <v>0</v>
      </c>
      <c r="S115" s="281">
        <v>0</v>
      </c>
      <c r="T115" s="288">
        <v>0</v>
      </c>
      <c r="U115" s="280">
        <v>0</v>
      </c>
      <c r="V115" s="280">
        <v>0</v>
      </c>
      <c r="W115" s="280">
        <v>0</v>
      </c>
      <c r="X115" s="280">
        <v>0</v>
      </c>
      <c r="Y115" s="280">
        <v>0</v>
      </c>
      <c r="Z115" s="280">
        <v>0</v>
      </c>
      <c r="AA115" s="281">
        <v>0</v>
      </c>
      <c r="AB115" s="288">
        <v>0</v>
      </c>
      <c r="AC115" s="280">
        <v>0</v>
      </c>
      <c r="AD115" s="280">
        <v>0</v>
      </c>
      <c r="AE115" s="280">
        <v>0</v>
      </c>
      <c r="AF115" s="280">
        <v>0</v>
      </c>
      <c r="AG115" s="280">
        <v>0</v>
      </c>
      <c r="AH115" s="280">
        <v>0</v>
      </c>
      <c r="AI115" s="281">
        <v>0</v>
      </c>
      <c r="AJ115" s="288">
        <v>0</v>
      </c>
      <c r="AK115" s="280">
        <v>0</v>
      </c>
      <c r="AL115" s="280">
        <v>0</v>
      </c>
      <c r="AM115" s="280">
        <v>0</v>
      </c>
      <c r="AN115" s="280">
        <v>0</v>
      </c>
      <c r="AO115" s="280">
        <v>0</v>
      </c>
      <c r="AP115" s="280">
        <v>0</v>
      </c>
      <c r="AQ115" s="281">
        <v>0</v>
      </c>
      <c r="AR115" s="288">
        <v>0</v>
      </c>
      <c r="AS115" s="280">
        <v>0</v>
      </c>
      <c r="AT115" s="280">
        <v>0</v>
      </c>
      <c r="AU115" s="280">
        <v>0</v>
      </c>
      <c r="AV115" s="280">
        <v>0</v>
      </c>
      <c r="AW115" s="280">
        <v>0</v>
      </c>
      <c r="AX115" s="280">
        <v>0</v>
      </c>
      <c r="AY115" s="281">
        <v>0</v>
      </c>
      <c r="AZ115" s="288">
        <v>0</v>
      </c>
      <c r="BA115" s="280">
        <v>0</v>
      </c>
      <c r="BB115" s="280">
        <v>0</v>
      </c>
      <c r="BC115" s="280">
        <v>0</v>
      </c>
      <c r="BD115" s="280">
        <v>0</v>
      </c>
      <c r="BE115" s="280">
        <v>0</v>
      </c>
      <c r="BF115" s="280">
        <v>0</v>
      </c>
      <c r="BG115" s="281">
        <v>0</v>
      </c>
      <c r="BH115" s="288">
        <v>0</v>
      </c>
      <c r="BI115" s="280">
        <v>0</v>
      </c>
      <c r="BJ115" s="280">
        <v>0</v>
      </c>
      <c r="BK115" s="280">
        <v>0</v>
      </c>
      <c r="BL115" s="280">
        <v>0</v>
      </c>
      <c r="BM115" s="280">
        <v>0</v>
      </c>
      <c r="BN115" s="280">
        <v>0</v>
      </c>
      <c r="BO115" s="281">
        <v>0</v>
      </c>
      <c r="BP115" s="288">
        <v>0</v>
      </c>
      <c r="BQ115" s="280">
        <v>0</v>
      </c>
      <c r="BR115" s="280">
        <v>0</v>
      </c>
      <c r="BS115" s="280">
        <v>0</v>
      </c>
      <c r="BT115" s="280">
        <v>0</v>
      </c>
      <c r="BU115" s="280">
        <v>0</v>
      </c>
      <c r="BV115" s="280">
        <v>0</v>
      </c>
      <c r="BW115" s="281">
        <v>0</v>
      </c>
      <c r="BX115" s="288">
        <v>0</v>
      </c>
      <c r="BY115" s="280">
        <v>0</v>
      </c>
      <c r="BZ115" s="280">
        <v>0</v>
      </c>
      <c r="CA115" s="280">
        <v>0</v>
      </c>
      <c r="CB115" s="280">
        <v>0</v>
      </c>
      <c r="CC115" s="280">
        <v>0</v>
      </c>
      <c r="CD115" s="280">
        <v>0</v>
      </c>
      <c r="CE115" s="281">
        <v>0</v>
      </c>
      <c r="CF115" s="288">
        <v>0</v>
      </c>
      <c r="CG115" s="280">
        <v>0</v>
      </c>
      <c r="CH115" s="280">
        <v>0</v>
      </c>
      <c r="CI115" s="280">
        <v>0</v>
      </c>
      <c r="CJ115" s="280">
        <v>0</v>
      </c>
      <c r="CK115" s="280">
        <v>0</v>
      </c>
      <c r="CL115" s="280">
        <v>0</v>
      </c>
      <c r="CM115" s="281">
        <v>0</v>
      </c>
      <c r="CN115" s="288">
        <v>0</v>
      </c>
      <c r="CO115" s="280">
        <v>0</v>
      </c>
      <c r="CP115" s="280">
        <v>0</v>
      </c>
      <c r="CQ115" s="280">
        <v>0</v>
      </c>
      <c r="CR115" s="280">
        <v>0</v>
      </c>
      <c r="CS115" s="280">
        <v>0</v>
      </c>
      <c r="CT115" s="280">
        <v>0</v>
      </c>
      <c r="CU115" s="281">
        <v>0</v>
      </c>
      <c r="CV115" s="288">
        <v>0</v>
      </c>
      <c r="CW115" s="280">
        <v>0</v>
      </c>
      <c r="CX115" s="280">
        <v>0</v>
      </c>
      <c r="CY115" s="280">
        <v>0</v>
      </c>
      <c r="CZ115" s="280">
        <v>0</v>
      </c>
      <c r="DA115" s="280">
        <v>0</v>
      </c>
      <c r="DB115" s="280">
        <v>0</v>
      </c>
      <c r="DC115" s="281">
        <v>0</v>
      </c>
      <c r="DD115" s="30"/>
      <c r="DE115" s="30" t="s">
        <v>249</v>
      </c>
      <c r="DF115" s="262"/>
      <c r="DG115" s="263"/>
      <c r="DH115" s="263"/>
      <c r="DI115" s="263"/>
      <c r="DJ115" s="263"/>
      <c r="DK115" s="263"/>
      <c r="DL115" s="263"/>
      <c r="DM115" s="264"/>
      <c r="DN115" s="264"/>
      <c r="DO115" s="264"/>
      <c r="DP115" s="264"/>
      <c r="DQ115" s="264"/>
      <c r="DR115" s="263"/>
      <c r="DS115" s="263"/>
      <c r="DT115" s="263"/>
      <c r="DU115" s="263"/>
      <c r="DV115" s="263"/>
      <c r="DW115" s="265" t="s">
        <v>342</v>
      </c>
    </row>
    <row r="116" spans="1:127" ht="10.5">
      <c r="A116" s="27" t="s">
        <v>89</v>
      </c>
      <c r="B116" s="30"/>
      <c r="C116" s="16" t="s">
        <v>404</v>
      </c>
      <c r="D116" s="30"/>
      <c r="E116" s="279">
        <v>0</v>
      </c>
      <c r="F116" s="280">
        <v>0</v>
      </c>
      <c r="G116" s="280">
        <v>0</v>
      </c>
      <c r="H116" s="280">
        <v>0</v>
      </c>
      <c r="I116" s="280">
        <v>0</v>
      </c>
      <c r="J116" s="280">
        <v>0</v>
      </c>
      <c r="K116" s="281">
        <v>0</v>
      </c>
      <c r="L116" s="288">
        <v>0</v>
      </c>
      <c r="M116" s="280">
        <v>0</v>
      </c>
      <c r="N116" s="280">
        <v>0</v>
      </c>
      <c r="O116" s="280">
        <v>0</v>
      </c>
      <c r="P116" s="280">
        <v>0</v>
      </c>
      <c r="Q116" s="280">
        <v>0</v>
      </c>
      <c r="R116" s="280">
        <v>0</v>
      </c>
      <c r="S116" s="281">
        <v>0</v>
      </c>
      <c r="T116" s="288">
        <v>0</v>
      </c>
      <c r="U116" s="280">
        <v>0</v>
      </c>
      <c r="V116" s="280">
        <v>0</v>
      </c>
      <c r="W116" s="280">
        <v>0</v>
      </c>
      <c r="X116" s="280">
        <v>0</v>
      </c>
      <c r="Y116" s="280">
        <v>0</v>
      </c>
      <c r="Z116" s="280">
        <v>0</v>
      </c>
      <c r="AA116" s="281">
        <v>0</v>
      </c>
      <c r="AB116" s="288">
        <v>0</v>
      </c>
      <c r="AC116" s="280">
        <v>0</v>
      </c>
      <c r="AD116" s="280">
        <v>0</v>
      </c>
      <c r="AE116" s="280">
        <v>0</v>
      </c>
      <c r="AF116" s="280">
        <v>0</v>
      </c>
      <c r="AG116" s="280">
        <v>0</v>
      </c>
      <c r="AH116" s="280">
        <v>0</v>
      </c>
      <c r="AI116" s="281">
        <v>0</v>
      </c>
      <c r="AJ116" s="288">
        <v>0</v>
      </c>
      <c r="AK116" s="280">
        <v>0</v>
      </c>
      <c r="AL116" s="280">
        <v>0</v>
      </c>
      <c r="AM116" s="280">
        <v>0</v>
      </c>
      <c r="AN116" s="280">
        <v>0</v>
      </c>
      <c r="AO116" s="280">
        <v>0</v>
      </c>
      <c r="AP116" s="280">
        <v>0</v>
      </c>
      <c r="AQ116" s="281">
        <v>0</v>
      </c>
      <c r="AR116" s="288">
        <v>0</v>
      </c>
      <c r="AS116" s="280">
        <v>0</v>
      </c>
      <c r="AT116" s="280">
        <v>0</v>
      </c>
      <c r="AU116" s="280">
        <v>0</v>
      </c>
      <c r="AV116" s="280">
        <v>0</v>
      </c>
      <c r="AW116" s="280">
        <v>0</v>
      </c>
      <c r="AX116" s="280">
        <v>0</v>
      </c>
      <c r="AY116" s="281">
        <v>0</v>
      </c>
      <c r="AZ116" s="288">
        <v>0</v>
      </c>
      <c r="BA116" s="280">
        <v>0</v>
      </c>
      <c r="BB116" s="280">
        <v>0</v>
      </c>
      <c r="BC116" s="280">
        <v>0</v>
      </c>
      <c r="BD116" s="280">
        <v>0</v>
      </c>
      <c r="BE116" s="280">
        <v>0</v>
      </c>
      <c r="BF116" s="280">
        <v>0</v>
      </c>
      <c r="BG116" s="281">
        <v>0</v>
      </c>
      <c r="BH116" s="288">
        <v>0</v>
      </c>
      <c r="BI116" s="280">
        <v>0</v>
      </c>
      <c r="BJ116" s="280">
        <v>0</v>
      </c>
      <c r="BK116" s="280">
        <v>0</v>
      </c>
      <c r="BL116" s="280">
        <v>0</v>
      </c>
      <c r="BM116" s="280">
        <v>0</v>
      </c>
      <c r="BN116" s="280">
        <v>0</v>
      </c>
      <c r="BO116" s="281">
        <v>0</v>
      </c>
      <c r="BP116" s="288">
        <v>0</v>
      </c>
      <c r="BQ116" s="280">
        <v>0</v>
      </c>
      <c r="BR116" s="280">
        <v>0</v>
      </c>
      <c r="BS116" s="280">
        <v>0</v>
      </c>
      <c r="BT116" s="280">
        <v>0</v>
      </c>
      <c r="BU116" s="280">
        <v>0</v>
      </c>
      <c r="BV116" s="280">
        <v>0</v>
      </c>
      <c r="BW116" s="281">
        <v>0</v>
      </c>
      <c r="BX116" s="288">
        <v>0</v>
      </c>
      <c r="BY116" s="280">
        <v>0</v>
      </c>
      <c r="BZ116" s="280">
        <v>0</v>
      </c>
      <c r="CA116" s="280">
        <v>0</v>
      </c>
      <c r="CB116" s="280">
        <v>0</v>
      </c>
      <c r="CC116" s="280">
        <v>0</v>
      </c>
      <c r="CD116" s="280">
        <v>0</v>
      </c>
      <c r="CE116" s="281">
        <v>0</v>
      </c>
      <c r="CF116" s="288">
        <v>0</v>
      </c>
      <c r="CG116" s="280">
        <v>0</v>
      </c>
      <c r="CH116" s="280">
        <v>0</v>
      </c>
      <c r="CI116" s="280">
        <v>0</v>
      </c>
      <c r="CJ116" s="280">
        <v>0</v>
      </c>
      <c r="CK116" s="280">
        <v>0</v>
      </c>
      <c r="CL116" s="280">
        <v>0</v>
      </c>
      <c r="CM116" s="281">
        <v>0</v>
      </c>
      <c r="CN116" s="288">
        <v>0</v>
      </c>
      <c r="CO116" s="280">
        <v>0</v>
      </c>
      <c r="CP116" s="280">
        <v>0</v>
      </c>
      <c r="CQ116" s="280">
        <v>0</v>
      </c>
      <c r="CR116" s="280">
        <v>0</v>
      </c>
      <c r="CS116" s="280">
        <v>0</v>
      </c>
      <c r="CT116" s="280">
        <v>0</v>
      </c>
      <c r="CU116" s="281">
        <v>0</v>
      </c>
      <c r="CV116" s="288">
        <v>0</v>
      </c>
      <c r="CW116" s="280">
        <v>0</v>
      </c>
      <c r="CX116" s="280">
        <v>0</v>
      </c>
      <c r="CY116" s="280">
        <v>0</v>
      </c>
      <c r="CZ116" s="280">
        <v>0</v>
      </c>
      <c r="DA116" s="280">
        <v>0</v>
      </c>
      <c r="DB116" s="280">
        <v>0</v>
      </c>
      <c r="DC116" s="281">
        <v>0</v>
      </c>
      <c r="DD116" s="30"/>
      <c r="DE116" s="30" t="s">
        <v>249</v>
      </c>
      <c r="DF116" s="262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3"/>
      <c r="DT116" s="263"/>
      <c r="DU116" s="263"/>
      <c r="DV116" s="263"/>
      <c r="DW116" s="265" t="s">
        <v>342</v>
      </c>
    </row>
    <row r="117" spans="1:127" ht="10.5">
      <c r="A117" s="27" t="s">
        <v>89</v>
      </c>
      <c r="B117" s="30"/>
      <c r="C117" s="16" t="s">
        <v>405</v>
      </c>
      <c r="D117" s="30"/>
      <c r="E117" s="279">
        <v>0</v>
      </c>
      <c r="F117" s="280">
        <v>0</v>
      </c>
      <c r="G117" s="280">
        <v>0</v>
      </c>
      <c r="H117" s="280">
        <v>0</v>
      </c>
      <c r="I117" s="280">
        <v>0</v>
      </c>
      <c r="J117" s="280">
        <v>0</v>
      </c>
      <c r="K117" s="281">
        <v>0</v>
      </c>
      <c r="L117" s="288">
        <v>0</v>
      </c>
      <c r="M117" s="280">
        <v>0</v>
      </c>
      <c r="N117" s="280">
        <v>0</v>
      </c>
      <c r="O117" s="280">
        <v>0</v>
      </c>
      <c r="P117" s="280">
        <v>0</v>
      </c>
      <c r="Q117" s="280">
        <v>0</v>
      </c>
      <c r="R117" s="280">
        <v>0</v>
      </c>
      <c r="S117" s="281">
        <v>0</v>
      </c>
      <c r="T117" s="288">
        <v>0</v>
      </c>
      <c r="U117" s="280">
        <v>0</v>
      </c>
      <c r="V117" s="280">
        <v>0</v>
      </c>
      <c r="W117" s="280">
        <v>0</v>
      </c>
      <c r="X117" s="280">
        <v>0</v>
      </c>
      <c r="Y117" s="280">
        <v>0</v>
      </c>
      <c r="Z117" s="280">
        <v>0</v>
      </c>
      <c r="AA117" s="281">
        <v>0</v>
      </c>
      <c r="AB117" s="288">
        <v>0</v>
      </c>
      <c r="AC117" s="280">
        <v>0</v>
      </c>
      <c r="AD117" s="280">
        <v>0</v>
      </c>
      <c r="AE117" s="280">
        <v>0</v>
      </c>
      <c r="AF117" s="280">
        <v>0</v>
      </c>
      <c r="AG117" s="280">
        <v>0</v>
      </c>
      <c r="AH117" s="280">
        <v>0</v>
      </c>
      <c r="AI117" s="281">
        <v>0</v>
      </c>
      <c r="AJ117" s="288">
        <v>0</v>
      </c>
      <c r="AK117" s="280">
        <v>0</v>
      </c>
      <c r="AL117" s="280">
        <v>0</v>
      </c>
      <c r="AM117" s="280">
        <v>0</v>
      </c>
      <c r="AN117" s="280">
        <v>0</v>
      </c>
      <c r="AO117" s="280">
        <v>0</v>
      </c>
      <c r="AP117" s="280">
        <v>0</v>
      </c>
      <c r="AQ117" s="281">
        <v>0</v>
      </c>
      <c r="AR117" s="288">
        <v>0</v>
      </c>
      <c r="AS117" s="280">
        <v>0</v>
      </c>
      <c r="AT117" s="280">
        <v>0</v>
      </c>
      <c r="AU117" s="280">
        <v>0</v>
      </c>
      <c r="AV117" s="280">
        <v>0</v>
      </c>
      <c r="AW117" s="280">
        <v>0</v>
      </c>
      <c r="AX117" s="280">
        <v>0</v>
      </c>
      <c r="AY117" s="281">
        <v>0</v>
      </c>
      <c r="AZ117" s="288">
        <v>0</v>
      </c>
      <c r="BA117" s="280">
        <v>0</v>
      </c>
      <c r="BB117" s="280">
        <v>0</v>
      </c>
      <c r="BC117" s="280">
        <v>0</v>
      </c>
      <c r="BD117" s="280">
        <v>0</v>
      </c>
      <c r="BE117" s="280">
        <v>0</v>
      </c>
      <c r="BF117" s="280">
        <v>0</v>
      </c>
      <c r="BG117" s="281">
        <v>0</v>
      </c>
      <c r="BH117" s="288">
        <v>0</v>
      </c>
      <c r="BI117" s="280">
        <v>0</v>
      </c>
      <c r="BJ117" s="280">
        <v>0</v>
      </c>
      <c r="BK117" s="280">
        <v>0</v>
      </c>
      <c r="BL117" s="280">
        <v>0</v>
      </c>
      <c r="BM117" s="280">
        <v>0</v>
      </c>
      <c r="BN117" s="280">
        <v>0</v>
      </c>
      <c r="BO117" s="281">
        <v>0</v>
      </c>
      <c r="BP117" s="288">
        <v>0</v>
      </c>
      <c r="BQ117" s="280">
        <v>0</v>
      </c>
      <c r="BR117" s="280">
        <v>0</v>
      </c>
      <c r="BS117" s="280">
        <v>0</v>
      </c>
      <c r="BT117" s="280">
        <v>0</v>
      </c>
      <c r="BU117" s="280">
        <v>0</v>
      </c>
      <c r="BV117" s="280">
        <v>0</v>
      </c>
      <c r="BW117" s="281">
        <v>0</v>
      </c>
      <c r="BX117" s="288">
        <v>0</v>
      </c>
      <c r="BY117" s="280">
        <v>0</v>
      </c>
      <c r="BZ117" s="280">
        <v>0</v>
      </c>
      <c r="CA117" s="280">
        <v>0</v>
      </c>
      <c r="CB117" s="280">
        <v>0</v>
      </c>
      <c r="CC117" s="280">
        <v>0</v>
      </c>
      <c r="CD117" s="280">
        <v>0</v>
      </c>
      <c r="CE117" s="281">
        <v>0</v>
      </c>
      <c r="CF117" s="288">
        <v>0</v>
      </c>
      <c r="CG117" s="280">
        <v>0</v>
      </c>
      <c r="CH117" s="280">
        <v>0</v>
      </c>
      <c r="CI117" s="280">
        <v>0</v>
      </c>
      <c r="CJ117" s="280">
        <v>0</v>
      </c>
      <c r="CK117" s="280">
        <v>0</v>
      </c>
      <c r="CL117" s="280">
        <v>0</v>
      </c>
      <c r="CM117" s="281">
        <v>0</v>
      </c>
      <c r="CN117" s="288">
        <v>0</v>
      </c>
      <c r="CO117" s="280">
        <v>0</v>
      </c>
      <c r="CP117" s="280">
        <v>0</v>
      </c>
      <c r="CQ117" s="280">
        <v>0</v>
      </c>
      <c r="CR117" s="280">
        <v>0</v>
      </c>
      <c r="CS117" s="280">
        <v>0</v>
      </c>
      <c r="CT117" s="280">
        <v>0</v>
      </c>
      <c r="CU117" s="281">
        <v>0</v>
      </c>
      <c r="CV117" s="288">
        <v>0</v>
      </c>
      <c r="CW117" s="280">
        <v>0</v>
      </c>
      <c r="CX117" s="280">
        <v>0</v>
      </c>
      <c r="CY117" s="280">
        <v>0</v>
      </c>
      <c r="CZ117" s="280">
        <v>0</v>
      </c>
      <c r="DA117" s="280">
        <v>0</v>
      </c>
      <c r="DB117" s="280">
        <v>0</v>
      </c>
      <c r="DC117" s="281">
        <v>0</v>
      </c>
      <c r="DD117" s="30"/>
      <c r="DE117" s="30" t="s">
        <v>249</v>
      </c>
      <c r="DF117" s="262"/>
      <c r="DG117" s="263"/>
      <c r="DH117" s="263"/>
      <c r="DI117" s="263"/>
      <c r="DJ117" s="263"/>
      <c r="DK117" s="263"/>
      <c r="DL117" s="263"/>
      <c r="DM117" s="263"/>
      <c r="DN117" s="263"/>
      <c r="DO117" s="263"/>
      <c r="DP117" s="263"/>
      <c r="DQ117" s="263"/>
      <c r="DR117" s="266"/>
      <c r="DS117" s="266"/>
      <c r="DT117" s="266"/>
      <c r="DU117" s="266"/>
      <c r="DV117" s="266"/>
      <c r="DW117" s="265" t="s">
        <v>342</v>
      </c>
    </row>
    <row r="118" spans="1:127" ht="10.5">
      <c r="A118" s="27" t="s">
        <v>89</v>
      </c>
      <c r="B118" s="30"/>
      <c r="C118" s="16" t="s">
        <v>406</v>
      </c>
      <c r="D118" s="30"/>
      <c r="E118" s="279">
        <v>0</v>
      </c>
      <c r="F118" s="280">
        <v>0</v>
      </c>
      <c r="G118" s="280">
        <v>0</v>
      </c>
      <c r="H118" s="280">
        <v>0</v>
      </c>
      <c r="I118" s="280">
        <v>0</v>
      </c>
      <c r="J118" s="280">
        <v>0</v>
      </c>
      <c r="K118" s="281">
        <v>0</v>
      </c>
      <c r="L118" s="288">
        <v>0</v>
      </c>
      <c r="M118" s="280">
        <v>0</v>
      </c>
      <c r="N118" s="280">
        <v>0</v>
      </c>
      <c r="O118" s="280">
        <v>0</v>
      </c>
      <c r="P118" s="280">
        <v>0</v>
      </c>
      <c r="Q118" s="280">
        <v>0</v>
      </c>
      <c r="R118" s="280">
        <v>0</v>
      </c>
      <c r="S118" s="281">
        <v>0</v>
      </c>
      <c r="T118" s="288">
        <v>0</v>
      </c>
      <c r="U118" s="280">
        <v>0</v>
      </c>
      <c r="V118" s="280">
        <v>0</v>
      </c>
      <c r="W118" s="280">
        <v>0</v>
      </c>
      <c r="X118" s="280">
        <v>0</v>
      </c>
      <c r="Y118" s="280">
        <v>0</v>
      </c>
      <c r="Z118" s="280">
        <v>0</v>
      </c>
      <c r="AA118" s="281">
        <v>0</v>
      </c>
      <c r="AB118" s="288">
        <v>0</v>
      </c>
      <c r="AC118" s="280">
        <v>0</v>
      </c>
      <c r="AD118" s="280">
        <v>0</v>
      </c>
      <c r="AE118" s="280">
        <v>0</v>
      </c>
      <c r="AF118" s="280">
        <v>0</v>
      </c>
      <c r="AG118" s="280">
        <v>0</v>
      </c>
      <c r="AH118" s="280">
        <v>0</v>
      </c>
      <c r="AI118" s="281">
        <v>0</v>
      </c>
      <c r="AJ118" s="288">
        <v>0</v>
      </c>
      <c r="AK118" s="280">
        <v>0</v>
      </c>
      <c r="AL118" s="280">
        <v>0</v>
      </c>
      <c r="AM118" s="280">
        <v>0</v>
      </c>
      <c r="AN118" s="280">
        <v>0</v>
      </c>
      <c r="AO118" s="280">
        <v>0</v>
      </c>
      <c r="AP118" s="280">
        <v>0</v>
      </c>
      <c r="AQ118" s="281">
        <v>0</v>
      </c>
      <c r="AR118" s="288">
        <v>0</v>
      </c>
      <c r="AS118" s="280">
        <v>0</v>
      </c>
      <c r="AT118" s="280">
        <v>0</v>
      </c>
      <c r="AU118" s="280">
        <v>0</v>
      </c>
      <c r="AV118" s="280">
        <v>0</v>
      </c>
      <c r="AW118" s="280">
        <v>0</v>
      </c>
      <c r="AX118" s="280">
        <v>0</v>
      </c>
      <c r="AY118" s="281">
        <v>0</v>
      </c>
      <c r="AZ118" s="288">
        <v>0</v>
      </c>
      <c r="BA118" s="280">
        <v>0</v>
      </c>
      <c r="BB118" s="280">
        <v>0</v>
      </c>
      <c r="BC118" s="280">
        <v>0</v>
      </c>
      <c r="BD118" s="280">
        <v>0</v>
      </c>
      <c r="BE118" s="280">
        <v>0</v>
      </c>
      <c r="BF118" s="280">
        <v>0</v>
      </c>
      <c r="BG118" s="281">
        <v>0</v>
      </c>
      <c r="BH118" s="288">
        <v>0</v>
      </c>
      <c r="BI118" s="280">
        <v>0</v>
      </c>
      <c r="BJ118" s="280">
        <v>0</v>
      </c>
      <c r="BK118" s="280">
        <v>0</v>
      </c>
      <c r="BL118" s="280">
        <v>0</v>
      </c>
      <c r="BM118" s="280">
        <v>0</v>
      </c>
      <c r="BN118" s="280">
        <v>0</v>
      </c>
      <c r="BO118" s="281">
        <v>0</v>
      </c>
      <c r="BP118" s="288">
        <v>0</v>
      </c>
      <c r="BQ118" s="280">
        <v>0</v>
      </c>
      <c r="BR118" s="280">
        <v>0</v>
      </c>
      <c r="BS118" s="280">
        <v>0</v>
      </c>
      <c r="BT118" s="280">
        <v>0</v>
      </c>
      <c r="BU118" s="280">
        <v>0</v>
      </c>
      <c r="BV118" s="280">
        <v>0</v>
      </c>
      <c r="BW118" s="281">
        <v>0</v>
      </c>
      <c r="BX118" s="288">
        <v>0</v>
      </c>
      <c r="BY118" s="280">
        <v>0</v>
      </c>
      <c r="BZ118" s="280">
        <v>0</v>
      </c>
      <c r="CA118" s="280">
        <v>0</v>
      </c>
      <c r="CB118" s="280">
        <v>0</v>
      </c>
      <c r="CC118" s="280">
        <v>0</v>
      </c>
      <c r="CD118" s="280">
        <v>0</v>
      </c>
      <c r="CE118" s="281">
        <v>0</v>
      </c>
      <c r="CF118" s="288">
        <v>0</v>
      </c>
      <c r="CG118" s="280">
        <v>0</v>
      </c>
      <c r="CH118" s="280">
        <v>0</v>
      </c>
      <c r="CI118" s="280">
        <v>0</v>
      </c>
      <c r="CJ118" s="280">
        <v>0</v>
      </c>
      <c r="CK118" s="280">
        <v>0</v>
      </c>
      <c r="CL118" s="280">
        <v>0</v>
      </c>
      <c r="CM118" s="281">
        <v>0</v>
      </c>
      <c r="CN118" s="288">
        <v>0</v>
      </c>
      <c r="CO118" s="280">
        <v>0</v>
      </c>
      <c r="CP118" s="280">
        <v>0</v>
      </c>
      <c r="CQ118" s="280">
        <v>0</v>
      </c>
      <c r="CR118" s="280">
        <v>0</v>
      </c>
      <c r="CS118" s="280">
        <v>0</v>
      </c>
      <c r="CT118" s="280">
        <v>0</v>
      </c>
      <c r="CU118" s="281">
        <v>0</v>
      </c>
      <c r="CV118" s="288">
        <v>0</v>
      </c>
      <c r="CW118" s="280">
        <v>0</v>
      </c>
      <c r="CX118" s="280">
        <v>0</v>
      </c>
      <c r="CY118" s="280">
        <v>0</v>
      </c>
      <c r="CZ118" s="280">
        <v>0</v>
      </c>
      <c r="DA118" s="280">
        <v>0</v>
      </c>
      <c r="DB118" s="280">
        <v>0</v>
      </c>
      <c r="DC118" s="281">
        <v>0</v>
      </c>
      <c r="DD118" s="30"/>
      <c r="DE118" s="30" t="s">
        <v>249</v>
      </c>
      <c r="DF118" s="262"/>
      <c r="DG118" s="263"/>
      <c r="DH118" s="263"/>
      <c r="DI118" s="263"/>
      <c r="DJ118" s="263"/>
      <c r="DK118" s="263"/>
      <c r="DL118" s="263"/>
      <c r="DM118" s="263"/>
      <c r="DN118" s="263"/>
      <c r="DO118" s="263"/>
      <c r="DP118" s="263"/>
      <c r="DQ118" s="263"/>
      <c r="DR118" s="266"/>
      <c r="DS118" s="266"/>
      <c r="DT118" s="266"/>
      <c r="DU118" s="266"/>
      <c r="DV118" s="266"/>
      <c r="DW118" s="265" t="s">
        <v>342</v>
      </c>
    </row>
    <row r="119" spans="1:127" ht="10.5">
      <c r="A119" s="27" t="s">
        <v>89</v>
      </c>
      <c r="B119" s="30"/>
      <c r="C119" s="16" t="s">
        <v>407</v>
      </c>
      <c r="D119" s="30"/>
      <c r="E119" s="279">
        <v>0</v>
      </c>
      <c r="F119" s="280">
        <v>0</v>
      </c>
      <c r="G119" s="280">
        <v>0</v>
      </c>
      <c r="H119" s="280">
        <v>0</v>
      </c>
      <c r="I119" s="280">
        <v>0</v>
      </c>
      <c r="J119" s="280">
        <v>0</v>
      </c>
      <c r="K119" s="281">
        <v>0</v>
      </c>
      <c r="L119" s="288">
        <v>0</v>
      </c>
      <c r="M119" s="280">
        <v>0</v>
      </c>
      <c r="N119" s="280">
        <v>0</v>
      </c>
      <c r="O119" s="280">
        <v>0</v>
      </c>
      <c r="P119" s="280">
        <v>0</v>
      </c>
      <c r="Q119" s="280">
        <v>0</v>
      </c>
      <c r="R119" s="280">
        <v>0</v>
      </c>
      <c r="S119" s="281">
        <v>0</v>
      </c>
      <c r="T119" s="288">
        <v>0</v>
      </c>
      <c r="U119" s="280">
        <v>0</v>
      </c>
      <c r="V119" s="280">
        <v>0</v>
      </c>
      <c r="W119" s="280">
        <v>0</v>
      </c>
      <c r="X119" s="280">
        <v>0</v>
      </c>
      <c r="Y119" s="280">
        <v>0</v>
      </c>
      <c r="Z119" s="280">
        <v>0</v>
      </c>
      <c r="AA119" s="281">
        <v>0</v>
      </c>
      <c r="AB119" s="288">
        <v>0</v>
      </c>
      <c r="AC119" s="280">
        <v>0</v>
      </c>
      <c r="AD119" s="280">
        <v>0</v>
      </c>
      <c r="AE119" s="280">
        <v>0</v>
      </c>
      <c r="AF119" s="280">
        <v>0</v>
      </c>
      <c r="AG119" s="280">
        <v>0</v>
      </c>
      <c r="AH119" s="280">
        <v>0</v>
      </c>
      <c r="AI119" s="281">
        <v>0</v>
      </c>
      <c r="AJ119" s="288">
        <v>0</v>
      </c>
      <c r="AK119" s="280">
        <v>0</v>
      </c>
      <c r="AL119" s="280">
        <v>0</v>
      </c>
      <c r="AM119" s="280">
        <v>0</v>
      </c>
      <c r="AN119" s="280">
        <v>0</v>
      </c>
      <c r="AO119" s="280">
        <v>0</v>
      </c>
      <c r="AP119" s="280">
        <v>0</v>
      </c>
      <c r="AQ119" s="281">
        <v>0</v>
      </c>
      <c r="AR119" s="288">
        <v>0</v>
      </c>
      <c r="AS119" s="280">
        <v>0</v>
      </c>
      <c r="AT119" s="280">
        <v>0</v>
      </c>
      <c r="AU119" s="280">
        <v>0</v>
      </c>
      <c r="AV119" s="280">
        <v>0</v>
      </c>
      <c r="AW119" s="280">
        <v>0</v>
      </c>
      <c r="AX119" s="280">
        <v>0</v>
      </c>
      <c r="AY119" s="281">
        <v>0</v>
      </c>
      <c r="AZ119" s="288">
        <v>0</v>
      </c>
      <c r="BA119" s="280">
        <v>0</v>
      </c>
      <c r="BB119" s="280">
        <v>0</v>
      </c>
      <c r="BC119" s="280">
        <v>0</v>
      </c>
      <c r="BD119" s="280">
        <v>0</v>
      </c>
      <c r="BE119" s="280">
        <v>0</v>
      </c>
      <c r="BF119" s="280">
        <v>0</v>
      </c>
      <c r="BG119" s="281">
        <v>0</v>
      </c>
      <c r="BH119" s="288">
        <v>0</v>
      </c>
      <c r="BI119" s="280">
        <v>0</v>
      </c>
      <c r="BJ119" s="280">
        <v>0</v>
      </c>
      <c r="BK119" s="280">
        <v>0</v>
      </c>
      <c r="BL119" s="280">
        <v>0</v>
      </c>
      <c r="BM119" s="280">
        <v>0</v>
      </c>
      <c r="BN119" s="280">
        <v>0</v>
      </c>
      <c r="BO119" s="281">
        <v>0</v>
      </c>
      <c r="BP119" s="288">
        <v>0</v>
      </c>
      <c r="BQ119" s="280">
        <v>0</v>
      </c>
      <c r="BR119" s="280">
        <v>0</v>
      </c>
      <c r="BS119" s="280">
        <v>0</v>
      </c>
      <c r="BT119" s="280">
        <v>0</v>
      </c>
      <c r="BU119" s="280">
        <v>0</v>
      </c>
      <c r="BV119" s="280">
        <v>0</v>
      </c>
      <c r="BW119" s="281">
        <v>0</v>
      </c>
      <c r="BX119" s="288">
        <v>0</v>
      </c>
      <c r="BY119" s="280">
        <v>0</v>
      </c>
      <c r="BZ119" s="280">
        <v>0</v>
      </c>
      <c r="CA119" s="280">
        <v>0</v>
      </c>
      <c r="CB119" s="280">
        <v>0</v>
      </c>
      <c r="CC119" s="280">
        <v>0</v>
      </c>
      <c r="CD119" s="280">
        <v>0</v>
      </c>
      <c r="CE119" s="281">
        <v>0</v>
      </c>
      <c r="CF119" s="288">
        <v>0</v>
      </c>
      <c r="CG119" s="280">
        <v>0</v>
      </c>
      <c r="CH119" s="280">
        <v>0</v>
      </c>
      <c r="CI119" s="280">
        <v>0</v>
      </c>
      <c r="CJ119" s="280">
        <v>0</v>
      </c>
      <c r="CK119" s="280">
        <v>0</v>
      </c>
      <c r="CL119" s="280">
        <v>0</v>
      </c>
      <c r="CM119" s="281">
        <v>0</v>
      </c>
      <c r="CN119" s="288">
        <v>0</v>
      </c>
      <c r="CO119" s="280">
        <v>0</v>
      </c>
      <c r="CP119" s="280">
        <v>0</v>
      </c>
      <c r="CQ119" s="280">
        <v>0</v>
      </c>
      <c r="CR119" s="280">
        <v>0</v>
      </c>
      <c r="CS119" s="280">
        <v>0</v>
      </c>
      <c r="CT119" s="280">
        <v>0</v>
      </c>
      <c r="CU119" s="281">
        <v>0</v>
      </c>
      <c r="CV119" s="288">
        <v>0</v>
      </c>
      <c r="CW119" s="280">
        <v>0</v>
      </c>
      <c r="CX119" s="280">
        <v>0</v>
      </c>
      <c r="CY119" s="280">
        <v>0</v>
      </c>
      <c r="CZ119" s="280">
        <v>0</v>
      </c>
      <c r="DA119" s="280">
        <v>0</v>
      </c>
      <c r="DB119" s="280">
        <v>0</v>
      </c>
      <c r="DC119" s="281">
        <v>0</v>
      </c>
      <c r="DD119" s="30"/>
      <c r="DE119" s="30" t="s">
        <v>249</v>
      </c>
      <c r="DF119" s="262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6"/>
      <c r="DS119" s="266"/>
      <c r="DT119" s="266"/>
      <c r="DU119" s="266"/>
      <c r="DV119" s="266"/>
      <c r="DW119" s="265" t="s">
        <v>342</v>
      </c>
    </row>
    <row r="120" spans="1:127" ht="10.5">
      <c r="A120" s="27" t="s">
        <v>89</v>
      </c>
      <c r="B120" s="30"/>
      <c r="C120" s="16" t="s">
        <v>408</v>
      </c>
      <c r="D120" s="30"/>
      <c r="E120" s="279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  <c r="K120" s="281">
        <v>0</v>
      </c>
      <c r="L120" s="288">
        <v>0</v>
      </c>
      <c r="M120" s="280">
        <v>0</v>
      </c>
      <c r="N120" s="280">
        <v>0</v>
      </c>
      <c r="O120" s="280">
        <v>0</v>
      </c>
      <c r="P120" s="280">
        <v>0</v>
      </c>
      <c r="Q120" s="280">
        <v>0</v>
      </c>
      <c r="R120" s="280">
        <v>0</v>
      </c>
      <c r="S120" s="281">
        <v>0</v>
      </c>
      <c r="T120" s="288">
        <v>0</v>
      </c>
      <c r="U120" s="280">
        <v>0</v>
      </c>
      <c r="V120" s="280">
        <v>0</v>
      </c>
      <c r="W120" s="280">
        <v>0</v>
      </c>
      <c r="X120" s="280">
        <v>0</v>
      </c>
      <c r="Y120" s="280">
        <v>0</v>
      </c>
      <c r="Z120" s="280">
        <v>0</v>
      </c>
      <c r="AA120" s="281">
        <v>0</v>
      </c>
      <c r="AB120" s="288">
        <v>0</v>
      </c>
      <c r="AC120" s="280">
        <v>0</v>
      </c>
      <c r="AD120" s="280">
        <v>0</v>
      </c>
      <c r="AE120" s="280">
        <v>0</v>
      </c>
      <c r="AF120" s="280">
        <v>0</v>
      </c>
      <c r="AG120" s="280">
        <v>0</v>
      </c>
      <c r="AH120" s="280">
        <v>0</v>
      </c>
      <c r="AI120" s="281">
        <v>0</v>
      </c>
      <c r="AJ120" s="288">
        <v>0</v>
      </c>
      <c r="AK120" s="280">
        <v>0</v>
      </c>
      <c r="AL120" s="280">
        <v>0</v>
      </c>
      <c r="AM120" s="280">
        <v>0</v>
      </c>
      <c r="AN120" s="280">
        <v>0</v>
      </c>
      <c r="AO120" s="280">
        <v>0</v>
      </c>
      <c r="AP120" s="280">
        <v>0</v>
      </c>
      <c r="AQ120" s="281">
        <v>0</v>
      </c>
      <c r="AR120" s="288">
        <v>0</v>
      </c>
      <c r="AS120" s="280">
        <v>0</v>
      </c>
      <c r="AT120" s="280">
        <v>0</v>
      </c>
      <c r="AU120" s="280">
        <v>0</v>
      </c>
      <c r="AV120" s="280">
        <v>0</v>
      </c>
      <c r="AW120" s="280">
        <v>0</v>
      </c>
      <c r="AX120" s="280">
        <v>0</v>
      </c>
      <c r="AY120" s="281">
        <v>0</v>
      </c>
      <c r="AZ120" s="288">
        <v>0</v>
      </c>
      <c r="BA120" s="280">
        <v>0</v>
      </c>
      <c r="BB120" s="280">
        <v>0</v>
      </c>
      <c r="BC120" s="280">
        <v>0</v>
      </c>
      <c r="BD120" s="280">
        <v>0</v>
      </c>
      <c r="BE120" s="280">
        <v>0</v>
      </c>
      <c r="BF120" s="280">
        <v>0</v>
      </c>
      <c r="BG120" s="281">
        <v>0</v>
      </c>
      <c r="BH120" s="288">
        <v>0</v>
      </c>
      <c r="BI120" s="280">
        <v>0</v>
      </c>
      <c r="BJ120" s="280">
        <v>0</v>
      </c>
      <c r="BK120" s="280">
        <v>0</v>
      </c>
      <c r="BL120" s="280">
        <v>0</v>
      </c>
      <c r="BM120" s="280">
        <v>0</v>
      </c>
      <c r="BN120" s="280">
        <v>0</v>
      </c>
      <c r="BO120" s="281">
        <v>0</v>
      </c>
      <c r="BP120" s="288">
        <v>0</v>
      </c>
      <c r="BQ120" s="280">
        <v>0</v>
      </c>
      <c r="BR120" s="280">
        <v>0</v>
      </c>
      <c r="BS120" s="280">
        <v>0</v>
      </c>
      <c r="BT120" s="280">
        <v>0</v>
      </c>
      <c r="BU120" s="280">
        <v>0</v>
      </c>
      <c r="BV120" s="280">
        <v>0</v>
      </c>
      <c r="BW120" s="281">
        <v>0</v>
      </c>
      <c r="BX120" s="288">
        <v>0</v>
      </c>
      <c r="BY120" s="280">
        <v>0</v>
      </c>
      <c r="BZ120" s="280">
        <v>0</v>
      </c>
      <c r="CA120" s="280">
        <v>0</v>
      </c>
      <c r="CB120" s="280">
        <v>0</v>
      </c>
      <c r="CC120" s="280">
        <v>0</v>
      </c>
      <c r="CD120" s="280">
        <v>0</v>
      </c>
      <c r="CE120" s="281">
        <v>0</v>
      </c>
      <c r="CF120" s="288">
        <v>0</v>
      </c>
      <c r="CG120" s="280">
        <v>0</v>
      </c>
      <c r="CH120" s="280">
        <v>0</v>
      </c>
      <c r="CI120" s="280">
        <v>0</v>
      </c>
      <c r="CJ120" s="280">
        <v>0</v>
      </c>
      <c r="CK120" s="280">
        <v>0</v>
      </c>
      <c r="CL120" s="280">
        <v>0</v>
      </c>
      <c r="CM120" s="281">
        <v>0</v>
      </c>
      <c r="CN120" s="288">
        <v>0</v>
      </c>
      <c r="CO120" s="280">
        <v>0</v>
      </c>
      <c r="CP120" s="280">
        <v>0</v>
      </c>
      <c r="CQ120" s="280">
        <v>0</v>
      </c>
      <c r="CR120" s="280">
        <v>0</v>
      </c>
      <c r="CS120" s="280">
        <v>0</v>
      </c>
      <c r="CT120" s="280">
        <v>0</v>
      </c>
      <c r="CU120" s="281">
        <v>0</v>
      </c>
      <c r="CV120" s="288">
        <v>0</v>
      </c>
      <c r="CW120" s="280">
        <v>0</v>
      </c>
      <c r="CX120" s="280">
        <v>0</v>
      </c>
      <c r="CY120" s="280">
        <v>0</v>
      </c>
      <c r="CZ120" s="280">
        <v>0</v>
      </c>
      <c r="DA120" s="280">
        <v>0</v>
      </c>
      <c r="DB120" s="280">
        <v>0</v>
      </c>
      <c r="DC120" s="281">
        <v>0</v>
      </c>
      <c r="DD120" s="30"/>
      <c r="DE120" s="30" t="s">
        <v>249</v>
      </c>
      <c r="DF120" s="262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6"/>
      <c r="DS120" s="266"/>
      <c r="DT120" s="266"/>
      <c r="DU120" s="266"/>
      <c r="DV120" s="266"/>
      <c r="DW120" s="265" t="s">
        <v>342</v>
      </c>
    </row>
    <row r="121" spans="1:127" ht="10.5">
      <c r="A121" s="27" t="s">
        <v>89</v>
      </c>
      <c r="B121" s="30"/>
      <c r="C121" s="16" t="s">
        <v>409</v>
      </c>
      <c r="D121" s="30"/>
      <c r="E121" s="279">
        <v>0</v>
      </c>
      <c r="F121" s="280">
        <v>0</v>
      </c>
      <c r="G121" s="280">
        <v>0</v>
      </c>
      <c r="H121" s="280">
        <v>0</v>
      </c>
      <c r="I121" s="280">
        <v>0</v>
      </c>
      <c r="J121" s="280">
        <v>0</v>
      </c>
      <c r="K121" s="281">
        <v>0</v>
      </c>
      <c r="L121" s="288">
        <v>0</v>
      </c>
      <c r="M121" s="280">
        <v>0</v>
      </c>
      <c r="N121" s="280">
        <v>0</v>
      </c>
      <c r="O121" s="280">
        <v>0</v>
      </c>
      <c r="P121" s="280">
        <v>0</v>
      </c>
      <c r="Q121" s="280">
        <v>0</v>
      </c>
      <c r="R121" s="280">
        <v>0</v>
      </c>
      <c r="S121" s="281">
        <v>0</v>
      </c>
      <c r="T121" s="288">
        <v>0</v>
      </c>
      <c r="U121" s="280">
        <v>0</v>
      </c>
      <c r="V121" s="280">
        <v>0</v>
      </c>
      <c r="W121" s="280">
        <v>0</v>
      </c>
      <c r="X121" s="280">
        <v>0</v>
      </c>
      <c r="Y121" s="280">
        <v>0</v>
      </c>
      <c r="Z121" s="280">
        <v>0</v>
      </c>
      <c r="AA121" s="281">
        <v>0</v>
      </c>
      <c r="AB121" s="288">
        <v>0</v>
      </c>
      <c r="AC121" s="280">
        <v>0</v>
      </c>
      <c r="AD121" s="280">
        <v>0</v>
      </c>
      <c r="AE121" s="280">
        <v>0</v>
      </c>
      <c r="AF121" s="280">
        <v>0</v>
      </c>
      <c r="AG121" s="280">
        <v>0</v>
      </c>
      <c r="AH121" s="280">
        <v>0</v>
      </c>
      <c r="AI121" s="281">
        <v>0</v>
      </c>
      <c r="AJ121" s="288">
        <v>0</v>
      </c>
      <c r="AK121" s="280">
        <v>0</v>
      </c>
      <c r="AL121" s="280">
        <v>0</v>
      </c>
      <c r="AM121" s="280">
        <v>0</v>
      </c>
      <c r="AN121" s="280">
        <v>0</v>
      </c>
      <c r="AO121" s="280">
        <v>0</v>
      </c>
      <c r="AP121" s="280">
        <v>0</v>
      </c>
      <c r="AQ121" s="281">
        <v>0</v>
      </c>
      <c r="AR121" s="288">
        <v>0</v>
      </c>
      <c r="AS121" s="280">
        <v>0</v>
      </c>
      <c r="AT121" s="280">
        <v>0</v>
      </c>
      <c r="AU121" s="280">
        <v>0</v>
      </c>
      <c r="AV121" s="280">
        <v>0</v>
      </c>
      <c r="AW121" s="280">
        <v>0</v>
      </c>
      <c r="AX121" s="280">
        <v>0</v>
      </c>
      <c r="AY121" s="281">
        <v>0</v>
      </c>
      <c r="AZ121" s="288">
        <v>0</v>
      </c>
      <c r="BA121" s="280">
        <v>0</v>
      </c>
      <c r="BB121" s="280">
        <v>0</v>
      </c>
      <c r="BC121" s="280">
        <v>0</v>
      </c>
      <c r="BD121" s="280">
        <v>0</v>
      </c>
      <c r="BE121" s="280">
        <v>0</v>
      </c>
      <c r="BF121" s="280">
        <v>0</v>
      </c>
      <c r="BG121" s="281">
        <v>0</v>
      </c>
      <c r="BH121" s="288">
        <v>0</v>
      </c>
      <c r="BI121" s="280">
        <v>0</v>
      </c>
      <c r="BJ121" s="280">
        <v>0</v>
      </c>
      <c r="BK121" s="280">
        <v>0</v>
      </c>
      <c r="BL121" s="280">
        <v>0</v>
      </c>
      <c r="BM121" s="280">
        <v>0</v>
      </c>
      <c r="BN121" s="280">
        <v>0</v>
      </c>
      <c r="BO121" s="281">
        <v>0</v>
      </c>
      <c r="BP121" s="288">
        <v>0</v>
      </c>
      <c r="BQ121" s="280">
        <v>0</v>
      </c>
      <c r="BR121" s="280">
        <v>0</v>
      </c>
      <c r="BS121" s="280">
        <v>0</v>
      </c>
      <c r="BT121" s="280">
        <v>0</v>
      </c>
      <c r="BU121" s="280">
        <v>0</v>
      </c>
      <c r="BV121" s="280">
        <v>0</v>
      </c>
      <c r="BW121" s="281">
        <v>0</v>
      </c>
      <c r="BX121" s="288">
        <v>0</v>
      </c>
      <c r="BY121" s="280">
        <v>0</v>
      </c>
      <c r="BZ121" s="280">
        <v>0</v>
      </c>
      <c r="CA121" s="280">
        <v>0</v>
      </c>
      <c r="CB121" s="280">
        <v>0</v>
      </c>
      <c r="CC121" s="280">
        <v>0</v>
      </c>
      <c r="CD121" s="280">
        <v>0</v>
      </c>
      <c r="CE121" s="281">
        <v>0</v>
      </c>
      <c r="CF121" s="288">
        <v>0</v>
      </c>
      <c r="CG121" s="280">
        <v>0</v>
      </c>
      <c r="CH121" s="280">
        <v>0</v>
      </c>
      <c r="CI121" s="280">
        <v>0</v>
      </c>
      <c r="CJ121" s="280">
        <v>0</v>
      </c>
      <c r="CK121" s="280">
        <v>0</v>
      </c>
      <c r="CL121" s="280">
        <v>0</v>
      </c>
      <c r="CM121" s="281">
        <v>0</v>
      </c>
      <c r="CN121" s="288">
        <v>0</v>
      </c>
      <c r="CO121" s="280">
        <v>0</v>
      </c>
      <c r="CP121" s="280">
        <v>0</v>
      </c>
      <c r="CQ121" s="280">
        <v>0</v>
      </c>
      <c r="CR121" s="280">
        <v>0</v>
      </c>
      <c r="CS121" s="280">
        <v>0</v>
      </c>
      <c r="CT121" s="280">
        <v>0</v>
      </c>
      <c r="CU121" s="281">
        <v>0</v>
      </c>
      <c r="CV121" s="288">
        <v>0</v>
      </c>
      <c r="CW121" s="280">
        <v>0</v>
      </c>
      <c r="CX121" s="280">
        <v>0</v>
      </c>
      <c r="CY121" s="280">
        <v>0</v>
      </c>
      <c r="CZ121" s="280">
        <v>0</v>
      </c>
      <c r="DA121" s="280">
        <v>0</v>
      </c>
      <c r="DB121" s="280">
        <v>0</v>
      </c>
      <c r="DC121" s="281">
        <v>0</v>
      </c>
      <c r="DD121" s="30"/>
      <c r="DE121" s="30" t="s">
        <v>249</v>
      </c>
      <c r="DF121" s="262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6"/>
      <c r="DS121" s="266"/>
      <c r="DT121" s="266"/>
      <c r="DU121" s="266"/>
      <c r="DV121" s="266"/>
      <c r="DW121" s="265" t="s">
        <v>342</v>
      </c>
    </row>
    <row r="122" spans="1:127" ht="10.5">
      <c r="A122" s="27" t="s">
        <v>89</v>
      </c>
      <c r="B122" s="30"/>
      <c r="C122" s="16" t="s">
        <v>410</v>
      </c>
      <c r="D122" s="30"/>
      <c r="E122" s="279">
        <v>0</v>
      </c>
      <c r="F122" s="280">
        <v>0</v>
      </c>
      <c r="G122" s="280">
        <v>0</v>
      </c>
      <c r="H122" s="280">
        <v>0</v>
      </c>
      <c r="I122" s="280">
        <v>0</v>
      </c>
      <c r="J122" s="280">
        <v>0</v>
      </c>
      <c r="K122" s="281">
        <v>0</v>
      </c>
      <c r="L122" s="288">
        <v>0</v>
      </c>
      <c r="M122" s="280">
        <v>0</v>
      </c>
      <c r="N122" s="280">
        <v>0</v>
      </c>
      <c r="O122" s="280">
        <v>0</v>
      </c>
      <c r="P122" s="280">
        <v>0</v>
      </c>
      <c r="Q122" s="280">
        <v>0</v>
      </c>
      <c r="R122" s="280">
        <v>0</v>
      </c>
      <c r="S122" s="281">
        <v>0</v>
      </c>
      <c r="T122" s="288">
        <v>0</v>
      </c>
      <c r="U122" s="280">
        <v>0</v>
      </c>
      <c r="V122" s="280">
        <v>0</v>
      </c>
      <c r="W122" s="280">
        <v>0</v>
      </c>
      <c r="X122" s="280">
        <v>0</v>
      </c>
      <c r="Y122" s="280">
        <v>0</v>
      </c>
      <c r="Z122" s="280">
        <v>0</v>
      </c>
      <c r="AA122" s="281">
        <v>0</v>
      </c>
      <c r="AB122" s="288">
        <v>0</v>
      </c>
      <c r="AC122" s="280">
        <v>0</v>
      </c>
      <c r="AD122" s="280">
        <v>0</v>
      </c>
      <c r="AE122" s="280">
        <v>0</v>
      </c>
      <c r="AF122" s="280">
        <v>0</v>
      </c>
      <c r="AG122" s="280">
        <v>0</v>
      </c>
      <c r="AH122" s="280">
        <v>0</v>
      </c>
      <c r="AI122" s="281">
        <v>0</v>
      </c>
      <c r="AJ122" s="288">
        <v>0</v>
      </c>
      <c r="AK122" s="280">
        <v>0</v>
      </c>
      <c r="AL122" s="280">
        <v>0</v>
      </c>
      <c r="AM122" s="280">
        <v>0</v>
      </c>
      <c r="AN122" s="280">
        <v>0</v>
      </c>
      <c r="AO122" s="280">
        <v>0</v>
      </c>
      <c r="AP122" s="280">
        <v>0</v>
      </c>
      <c r="AQ122" s="281">
        <v>0</v>
      </c>
      <c r="AR122" s="288">
        <v>0</v>
      </c>
      <c r="AS122" s="280">
        <v>0</v>
      </c>
      <c r="AT122" s="280">
        <v>0</v>
      </c>
      <c r="AU122" s="280">
        <v>0</v>
      </c>
      <c r="AV122" s="280">
        <v>0</v>
      </c>
      <c r="AW122" s="280">
        <v>0</v>
      </c>
      <c r="AX122" s="280">
        <v>0</v>
      </c>
      <c r="AY122" s="281">
        <v>0</v>
      </c>
      <c r="AZ122" s="288">
        <v>0</v>
      </c>
      <c r="BA122" s="280">
        <v>0</v>
      </c>
      <c r="BB122" s="280">
        <v>0</v>
      </c>
      <c r="BC122" s="280">
        <v>0</v>
      </c>
      <c r="BD122" s="280">
        <v>0</v>
      </c>
      <c r="BE122" s="280">
        <v>0</v>
      </c>
      <c r="BF122" s="280">
        <v>0</v>
      </c>
      <c r="BG122" s="281">
        <v>0</v>
      </c>
      <c r="BH122" s="288">
        <v>0</v>
      </c>
      <c r="BI122" s="280">
        <v>0</v>
      </c>
      <c r="BJ122" s="280">
        <v>0</v>
      </c>
      <c r="BK122" s="280">
        <v>0</v>
      </c>
      <c r="BL122" s="280">
        <v>0</v>
      </c>
      <c r="BM122" s="280">
        <v>0</v>
      </c>
      <c r="BN122" s="280">
        <v>0</v>
      </c>
      <c r="BO122" s="281">
        <v>0</v>
      </c>
      <c r="BP122" s="288">
        <v>0</v>
      </c>
      <c r="BQ122" s="280">
        <v>0</v>
      </c>
      <c r="BR122" s="280">
        <v>0</v>
      </c>
      <c r="BS122" s="280">
        <v>0</v>
      </c>
      <c r="BT122" s="280">
        <v>0</v>
      </c>
      <c r="BU122" s="280">
        <v>0</v>
      </c>
      <c r="BV122" s="280">
        <v>0</v>
      </c>
      <c r="BW122" s="281">
        <v>0</v>
      </c>
      <c r="BX122" s="288">
        <v>0</v>
      </c>
      <c r="BY122" s="280">
        <v>0</v>
      </c>
      <c r="BZ122" s="280">
        <v>0</v>
      </c>
      <c r="CA122" s="280">
        <v>0</v>
      </c>
      <c r="CB122" s="280">
        <v>0</v>
      </c>
      <c r="CC122" s="280">
        <v>0</v>
      </c>
      <c r="CD122" s="280">
        <v>0</v>
      </c>
      <c r="CE122" s="281">
        <v>0</v>
      </c>
      <c r="CF122" s="288">
        <v>0</v>
      </c>
      <c r="CG122" s="280">
        <v>0</v>
      </c>
      <c r="CH122" s="280">
        <v>0</v>
      </c>
      <c r="CI122" s="280">
        <v>0</v>
      </c>
      <c r="CJ122" s="280">
        <v>0</v>
      </c>
      <c r="CK122" s="280">
        <v>0</v>
      </c>
      <c r="CL122" s="280">
        <v>0</v>
      </c>
      <c r="CM122" s="281">
        <v>0</v>
      </c>
      <c r="CN122" s="288">
        <v>0</v>
      </c>
      <c r="CO122" s="280">
        <v>0</v>
      </c>
      <c r="CP122" s="280">
        <v>0</v>
      </c>
      <c r="CQ122" s="280">
        <v>0</v>
      </c>
      <c r="CR122" s="280">
        <v>0</v>
      </c>
      <c r="CS122" s="280">
        <v>0</v>
      </c>
      <c r="CT122" s="280">
        <v>0</v>
      </c>
      <c r="CU122" s="281">
        <v>0</v>
      </c>
      <c r="CV122" s="288">
        <v>0</v>
      </c>
      <c r="CW122" s="280">
        <v>0</v>
      </c>
      <c r="CX122" s="280">
        <v>0</v>
      </c>
      <c r="CY122" s="280">
        <v>0</v>
      </c>
      <c r="CZ122" s="280">
        <v>0</v>
      </c>
      <c r="DA122" s="280">
        <v>0</v>
      </c>
      <c r="DB122" s="280">
        <v>0</v>
      </c>
      <c r="DC122" s="281">
        <v>0</v>
      </c>
      <c r="DD122" s="30"/>
      <c r="DE122" s="30" t="s">
        <v>249</v>
      </c>
      <c r="DF122" s="262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5" t="s">
        <v>342</v>
      </c>
    </row>
    <row r="123" spans="2:127" ht="10.5">
      <c r="B123" s="30"/>
      <c r="C123" s="46"/>
      <c r="D123" s="30"/>
      <c r="E123" s="282"/>
      <c r="F123" s="46"/>
      <c r="G123" s="46"/>
      <c r="H123" s="46"/>
      <c r="I123" s="46"/>
      <c r="J123" s="46"/>
      <c r="K123" s="283"/>
      <c r="L123" s="287"/>
      <c r="M123" s="46"/>
      <c r="N123" s="46"/>
      <c r="O123" s="46"/>
      <c r="P123" s="46"/>
      <c r="Q123" s="46"/>
      <c r="R123" s="46"/>
      <c r="S123" s="283"/>
      <c r="T123" s="287"/>
      <c r="U123" s="46"/>
      <c r="V123" s="46"/>
      <c r="W123" s="46"/>
      <c r="X123" s="46"/>
      <c r="Y123" s="46"/>
      <c r="Z123" s="46"/>
      <c r="AA123" s="283"/>
      <c r="AB123" s="287"/>
      <c r="AC123" s="46"/>
      <c r="AD123" s="46"/>
      <c r="AE123" s="46"/>
      <c r="AF123" s="46"/>
      <c r="AG123" s="46"/>
      <c r="AH123" s="46"/>
      <c r="AI123" s="283"/>
      <c r="AJ123" s="287"/>
      <c r="AK123" s="46"/>
      <c r="AL123" s="46"/>
      <c r="AM123" s="46"/>
      <c r="AN123" s="46"/>
      <c r="AO123" s="46"/>
      <c r="AP123" s="46"/>
      <c r="AQ123" s="283"/>
      <c r="AR123" s="287"/>
      <c r="AS123" s="46"/>
      <c r="AT123" s="46"/>
      <c r="AU123" s="46"/>
      <c r="AV123" s="46"/>
      <c r="AW123" s="46"/>
      <c r="AX123" s="46"/>
      <c r="AY123" s="283"/>
      <c r="AZ123" s="287"/>
      <c r="BA123" s="46"/>
      <c r="BB123" s="46"/>
      <c r="BC123" s="46"/>
      <c r="BD123" s="46"/>
      <c r="BE123" s="46"/>
      <c r="BF123" s="46"/>
      <c r="BG123" s="283"/>
      <c r="BH123" s="287"/>
      <c r="BI123" s="46"/>
      <c r="BJ123" s="46"/>
      <c r="BK123" s="46"/>
      <c r="BL123" s="46"/>
      <c r="BM123" s="46"/>
      <c r="BN123" s="46"/>
      <c r="BO123" s="283"/>
      <c r="BP123" s="287"/>
      <c r="BQ123" s="46"/>
      <c r="BR123" s="46"/>
      <c r="BS123" s="46"/>
      <c r="BT123" s="46"/>
      <c r="BU123" s="46"/>
      <c r="BV123" s="46"/>
      <c r="BW123" s="283"/>
      <c r="BX123" s="287"/>
      <c r="BY123" s="46"/>
      <c r="BZ123" s="46"/>
      <c r="CA123" s="46"/>
      <c r="CB123" s="46"/>
      <c r="CC123" s="46"/>
      <c r="CD123" s="46"/>
      <c r="CE123" s="283"/>
      <c r="CF123" s="287"/>
      <c r="CG123" s="46"/>
      <c r="CH123" s="46"/>
      <c r="CI123" s="46"/>
      <c r="CJ123" s="46"/>
      <c r="CK123" s="46"/>
      <c r="CL123" s="46"/>
      <c r="CM123" s="283"/>
      <c r="CN123" s="287"/>
      <c r="CO123" s="46"/>
      <c r="CP123" s="46"/>
      <c r="CQ123" s="46"/>
      <c r="CR123" s="46"/>
      <c r="CS123" s="46"/>
      <c r="CT123" s="46"/>
      <c r="CU123" s="283"/>
      <c r="CV123" s="287"/>
      <c r="CW123" s="46"/>
      <c r="CX123" s="46"/>
      <c r="CY123" s="46"/>
      <c r="CZ123" s="46"/>
      <c r="DA123" s="46"/>
      <c r="DB123" s="46"/>
      <c r="DC123" s="283"/>
      <c r="DD123" s="30"/>
      <c r="DE123" s="30"/>
      <c r="DF123" s="262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5" t="s">
        <v>342</v>
      </c>
    </row>
    <row r="124" spans="1:127" ht="10.5">
      <c r="A124" s="27" t="s">
        <v>62</v>
      </c>
      <c r="B124" s="30" t="s">
        <v>63</v>
      </c>
      <c r="C124" s="47" t="s">
        <v>411</v>
      </c>
      <c r="D124" s="30"/>
      <c r="E124" s="279">
        <v>0</v>
      </c>
      <c r="F124" s="280">
        <v>0</v>
      </c>
      <c r="G124" s="280">
        <v>0</v>
      </c>
      <c r="H124" s="280">
        <v>0</v>
      </c>
      <c r="I124" s="280">
        <v>0</v>
      </c>
      <c r="J124" s="280">
        <v>0</v>
      </c>
      <c r="K124" s="281">
        <v>0</v>
      </c>
      <c r="L124" s="288">
        <v>0</v>
      </c>
      <c r="M124" s="280">
        <v>0</v>
      </c>
      <c r="N124" s="280">
        <v>0</v>
      </c>
      <c r="O124" s="280">
        <v>0</v>
      </c>
      <c r="P124" s="280">
        <v>0</v>
      </c>
      <c r="Q124" s="280">
        <v>0</v>
      </c>
      <c r="R124" s="280">
        <v>0</v>
      </c>
      <c r="S124" s="281">
        <v>0</v>
      </c>
      <c r="T124" s="288">
        <v>0</v>
      </c>
      <c r="U124" s="280">
        <v>0</v>
      </c>
      <c r="V124" s="280">
        <v>0</v>
      </c>
      <c r="W124" s="280">
        <v>0</v>
      </c>
      <c r="X124" s="280">
        <v>0</v>
      </c>
      <c r="Y124" s="280">
        <v>0</v>
      </c>
      <c r="Z124" s="280">
        <v>0</v>
      </c>
      <c r="AA124" s="281">
        <v>0</v>
      </c>
      <c r="AB124" s="288">
        <v>0</v>
      </c>
      <c r="AC124" s="280">
        <v>0</v>
      </c>
      <c r="AD124" s="280">
        <v>0</v>
      </c>
      <c r="AE124" s="280">
        <v>0</v>
      </c>
      <c r="AF124" s="280">
        <v>0</v>
      </c>
      <c r="AG124" s="280">
        <v>0</v>
      </c>
      <c r="AH124" s="280">
        <v>0</v>
      </c>
      <c r="AI124" s="281">
        <v>0</v>
      </c>
      <c r="AJ124" s="288">
        <v>0</v>
      </c>
      <c r="AK124" s="280">
        <v>0</v>
      </c>
      <c r="AL124" s="280">
        <v>0</v>
      </c>
      <c r="AM124" s="280">
        <v>0</v>
      </c>
      <c r="AN124" s="280">
        <v>0</v>
      </c>
      <c r="AO124" s="280">
        <v>0</v>
      </c>
      <c r="AP124" s="280">
        <v>0</v>
      </c>
      <c r="AQ124" s="281">
        <v>0</v>
      </c>
      <c r="AR124" s="288">
        <v>0</v>
      </c>
      <c r="AS124" s="280">
        <v>0</v>
      </c>
      <c r="AT124" s="280">
        <v>0</v>
      </c>
      <c r="AU124" s="280">
        <v>0</v>
      </c>
      <c r="AV124" s="280">
        <v>0</v>
      </c>
      <c r="AW124" s="280">
        <v>0</v>
      </c>
      <c r="AX124" s="280">
        <v>0</v>
      </c>
      <c r="AY124" s="281">
        <v>0</v>
      </c>
      <c r="AZ124" s="288">
        <v>0</v>
      </c>
      <c r="BA124" s="280">
        <v>0</v>
      </c>
      <c r="BB124" s="280">
        <v>0</v>
      </c>
      <c r="BC124" s="280">
        <v>0</v>
      </c>
      <c r="BD124" s="280">
        <v>0</v>
      </c>
      <c r="BE124" s="280">
        <v>0</v>
      </c>
      <c r="BF124" s="280">
        <v>0</v>
      </c>
      <c r="BG124" s="281">
        <v>0</v>
      </c>
      <c r="BH124" s="288">
        <v>0</v>
      </c>
      <c r="BI124" s="280">
        <v>0</v>
      </c>
      <c r="BJ124" s="280">
        <v>0</v>
      </c>
      <c r="BK124" s="280">
        <v>0</v>
      </c>
      <c r="BL124" s="280">
        <v>0</v>
      </c>
      <c r="BM124" s="280">
        <v>0</v>
      </c>
      <c r="BN124" s="280">
        <v>0</v>
      </c>
      <c r="BO124" s="281">
        <v>0</v>
      </c>
      <c r="BP124" s="288">
        <v>0</v>
      </c>
      <c r="BQ124" s="280">
        <v>0</v>
      </c>
      <c r="BR124" s="280">
        <v>0</v>
      </c>
      <c r="BS124" s="280">
        <v>0</v>
      </c>
      <c r="BT124" s="280">
        <v>0</v>
      </c>
      <c r="BU124" s="280">
        <v>0</v>
      </c>
      <c r="BV124" s="280">
        <v>0</v>
      </c>
      <c r="BW124" s="281">
        <v>0</v>
      </c>
      <c r="BX124" s="288">
        <v>0</v>
      </c>
      <c r="BY124" s="280">
        <v>0</v>
      </c>
      <c r="BZ124" s="280">
        <v>0</v>
      </c>
      <c r="CA124" s="280">
        <v>0</v>
      </c>
      <c r="CB124" s="280">
        <v>0</v>
      </c>
      <c r="CC124" s="280">
        <v>0</v>
      </c>
      <c r="CD124" s="280">
        <v>0</v>
      </c>
      <c r="CE124" s="281">
        <v>0</v>
      </c>
      <c r="CF124" s="288">
        <v>0</v>
      </c>
      <c r="CG124" s="280">
        <v>0</v>
      </c>
      <c r="CH124" s="280">
        <v>0</v>
      </c>
      <c r="CI124" s="280">
        <v>0</v>
      </c>
      <c r="CJ124" s="280">
        <v>0</v>
      </c>
      <c r="CK124" s="280">
        <v>0</v>
      </c>
      <c r="CL124" s="280">
        <v>0</v>
      </c>
      <c r="CM124" s="281">
        <v>0</v>
      </c>
      <c r="CN124" s="288">
        <v>0</v>
      </c>
      <c r="CO124" s="280">
        <v>0</v>
      </c>
      <c r="CP124" s="280">
        <v>0</v>
      </c>
      <c r="CQ124" s="280">
        <v>0</v>
      </c>
      <c r="CR124" s="280">
        <v>0</v>
      </c>
      <c r="CS124" s="280">
        <v>0</v>
      </c>
      <c r="CT124" s="280">
        <v>0</v>
      </c>
      <c r="CU124" s="281">
        <v>0</v>
      </c>
      <c r="CV124" s="288">
        <v>0</v>
      </c>
      <c r="CW124" s="280">
        <v>0</v>
      </c>
      <c r="CX124" s="280">
        <v>0</v>
      </c>
      <c r="CY124" s="280">
        <v>0</v>
      </c>
      <c r="CZ124" s="280">
        <v>0</v>
      </c>
      <c r="DA124" s="280">
        <v>0</v>
      </c>
      <c r="DB124" s="280">
        <v>0</v>
      </c>
      <c r="DC124" s="281">
        <v>0</v>
      </c>
      <c r="DD124" s="30"/>
      <c r="DE124" s="30" t="s">
        <v>249</v>
      </c>
      <c r="DF124" s="262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5" t="s">
        <v>342</v>
      </c>
    </row>
    <row r="125" spans="1:127" ht="10.5">
      <c r="A125" s="27" t="s">
        <v>49</v>
      </c>
      <c r="B125" s="30" t="s">
        <v>63</v>
      </c>
      <c r="C125" s="47" t="s">
        <v>412</v>
      </c>
      <c r="D125" s="30"/>
      <c r="E125" s="279">
        <v>0</v>
      </c>
      <c r="F125" s="280">
        <v>0</v>
      </c>
      <c r="G125" s="280">
        <v>0</v>
      </c>
      <c r="H125" s="280">
        <v>0</v>
      </c>
      <c r="I125" s="280">
        <v>0</v>
      </c>
      <c r="J125" s="280">
        <v>0</v>
      </c>
      <c r="K125" s="281">
        <v>0</v>
      </c>
      <c r="L125" s="288">
        <v>0</v>
      </c>
      <c r="M125" s="280">
        <v>0</v>
      </c>
      <c r="N125" s="280">
        <v>0</v>
      </c>
      <c r="O125" s="280">
        <v>0</v>
      </c>
      <c r="P125" s="280">
        <v>0</v>
      </c>
      <c r="Q125" s="280">
        <v>0</v>
      </c>
      <c r="R125" s="280">
        <v>0</v>
      </c>
      <c r="S125" s="281">
        <v>0</v>
      </c>
      <c r="T125" s="288">
        <v>0</v>
      </c>
      <c r="U125" s="280">
        <v>0</v>
      </c>
      <c r="V125" s="280">
        <v>0</v>
      </c>
      <c r="W125" s="280">
        <v>0</v>
      </c>
      <c r="X125" s="280">
        <v>0</v>
      </c>
      <c r="Y125" s="280">
        <v>0</v>
      </c>
      <c r="Z125" s="280">
        <v>0</v>
      </c>
      <c r="AA125" s="281">
        <v>0</v>
      </c>
      <c r="AB125" s="288">
        <v>0</v>
      </c>
      <c r="AC125" s="280">
        <v>0</v>
      </c>
      <c r="AD125" s="280">
        <v>0</v>
      </c>
      <c r="AE125" s="280">
        <v>0</v>
      </c>
      <c r="AF125" s="280">
        <v>0</v>
      </c>
      <c r="AG125" s="280">
        <v>0</v>
      </c>
      <c r="AH125" s="280">
        <v>0</v>
      </c>
      <c r="AI125" s="281">
        <v>0</v>
      </c>
      <c r="AJ125" s="288">
        <v>0</v>
      </c>
      <c r="AK125" s="280">
        <v>0</v>
      </c>
      <c r="AL125" s="280">
        <v>0</v>
      </c>
      <c r="AM125" s="280">
        <v>0</v>
      </c>
      <c r="AN125" s="280">
        <v>0</v>
      </c>
      <c r="AO125" s="280">
        <v>0</v>
      </c>
      <c r="AP125" s="280">
        <v>0</v>
      </c>
      <c r="AQ125" s="281">
        <v>0</v>
      </c>
      <c r="AR125" s="288">
        <v>0</v>
      </c>
      <c r="AS125" s="280">
        <v>0</v>
      </c>
      <c r="AT125" s="280">
        <v>0</v>
      </c>
      <c r="AU125" s="280">
        <v>0</v>
      </c>
      <c r="AV125" s="280">
        <v>0</v>
      </c>
      <c r="AW125" s="280">
        <v>0</v>
      </c>
      <c r="AX125" s="280">
        <v>0</v>
      </c>
      <c r="AY125" s="281">
        <v>0</v>
      </c>
      <c r="AZ125" s="288">
        <v>0</v>
      </c>
      <c r="BA125" s="280">
        <v>0</v>
      </c>
      <c r="BB125" s="280">
        <v>0</v>
      </c>
      <c r="BC125" s="280">
        <v>0</v>
      </c>
      <c r="BD125" s="280">
        <v>0</v>
      </c>
      <c r="BE125" s="280">
        <v>0</v>
      </c>
      <c r="BF125" s="280">
        <v>0</v>
      </c>
      <c r="BG125" s="281">
        <v>0</v>
      </c>
      <c r="BH125" s="288">
        <v>0</v>
      </c>
      <c r="BI125" s="280">
        <v>0</v>
      </c>
      <c r="BJ125" s="280">
        <v>0</v>
      </c>
      <c r="BK125" s="280">
        <v>0</v>
      </c>
      <c r="BL125" s="280">
        <v>0</v>
      </c>
      <c r="BM125" s="280">
        <v>0</v>
      </c>
      <c r="BN125" s="280">
        <v>0</v>
      </c>
      <c r="BO125" s="281">
        <v>0</v>
      </c>
      <c r="BP125" s="288">
        <v>0</v>
      </c>
      <c r="BQ125" s="280">
        <v>0</v>
      </c>
      <c r="BR125" s="280">
        <v>0</v>
      </c>
      <c r="BS125" s="280">
        <v>0</v>
      </c>
      <c r="BT125" s="280">
        <v>0</v>
      </c>
      <c r="BU125" s="280">
        <v>0</v>
      </c>
      <c r="BV125" s="280">
        <v>0</v>
      </c>
      <c r="BW125" s="281">
        <v>0</v>
      </c>
      <c r="BX125" s="288">
        <v>0</v>
      </c>
      <c r="BY125" s="280">
        <v>0</v>
      </c>
      <c r="BZ125" s="280">
        <v>0</v>
      </c>
      <c r="CA125" s="280">
        <v>0</v>
      </c>
      <c r="CB125" s="280">
        <v>0</v>
      </c>
      <c r="CC125" s="280">
        <v>0</v>
      </c>
      <c r="CD125" s="280">
        <v>0</v>
      </c>
      <c r="CE125" s="281">
        <v>0</v>
      </c>
      <c r="CF125" s="288">
        <v>0</v>
      </c>
      <c r="CG125" s="280">
        <v>0</v>
      </c>
      <c r="CH125" s="280">
        <v>0</v>
      </c>
      <c r="CI125" s="280">
        <v>0</v>
      </c>
      <c r="CJ125" s="280">
        <v>0</v>
      </c>
      <c r="CK125" s="280">
        <v>0</v>
      </c>
      <c r="CL125" s="280">
        <v>0</v>
      </c>
      <c r="CM125" s="281">
        <v>0</v>
      </c>
      <c r="CN125" s="288">
        <v>0</v>
      </c>
      <c r="CO125" s="280">
        <v>0</v>
      </c>
      <c r="CP125" s="280">
        <v>0</v>
      </c>
      <c r="CQ125" s="280">
        <v>0</v>
      </c>
      <c r="CR125" s="280">
        <v>0</v>
      </c>
      <c r="CS125" s="280">
        <v>0</v>
      </c>
      <c r="CT125" s="280">
        <v>0</v>
      </c>
      <c r="CU125" s="281">
        <v>0</v>
      </c>
      <c r="CV125" s="288">
        <v>0</v>
      </c>
      <c r="CW125" s="280">
        <v>0</v>
      </c>
      <c r="CX125" s="280">
        <v>0</v>
      </c>
      <c r="CY125" s="280">
        <v>0</v>
      </c>
      <c r="CZ125" s="280">
        <v>0</v>
      </c>
      <c r="DA125" s="280">
        <v>0</v>
      </c>
      <c r="DB125" s="280">
        <v>0</v>
      </c>
      <c r="DC125" s="281">
        <v>0</v>
      </c>
      <c r="DD125" s="30"/>
      <c r="DE125" s="30" t="s">
        <v>249</v>
      </c>
      <c r="DF125" s="267"/>
      <c r="DG125" s="264"/>
      <c r="DH125" s="264"/>
      <c r="DI125" s="264"/>
      <c r="DJ125" s="264"/>
      <c r="DK125" s="264"/>
      <c r="DL125" s="264"/>
      <c r="DM125" s="264"/>
      <c r="DN125" s="264"/>
      <c r="DO125" s="264"/>
      <c r="DP125" s="264"/>
      <c r="DQ125" s="264"/>
      <c r="DR125" s="264"/>
      <c r="DS125" s="264"/>
      <c r="DT125" s="264"/>
      <c r="DU125" s="264"/>
      <c r="DV125" s="264"/>
      <c r="DW125" s="265" t="s">
        <v>342</v>
      </c>
    </row>
    <row r="126" spans="1:127" ht="10.5">
      <c r="A126" s="48" t="s">
        <v>143</v>
      </c>
      <c r="E126" s="290" t="s">
        <v>342</v>
      </c>
      <c r="F126" s="291" t="s">
        <v>342</v>
      </c>
      <c r="G126" s="291" t="s">
        <v>342</v>
      </c>
      <c r="H126" s="291" t="s">
        <v>342</v>
      </c>
      <c r="I126" s="291" t="s">
        <v>342</v>
      </c>
      <c r="J126" s="291" t="s">
        <v>342</v>
      </c>
      <c r="K126" s="292" t="s">
        <v>342</v>
      </c>
      <c r="L126" s="290" t="s">
        <v>342</v>
      </c>
      <c r="M126" s="291" t="s">
        <v>342</v>
      </c>
      <c r="N126" s="291" t="s">
        <v>342</v>
      </c>
      <c r="O126" s="291" t="s">
        <v>342</v>
      </c>
      <c r="P126" s="291" t="s">
        <v>342</v>
      </c>
      <c r="Q126" s="291" t="s">
        <v>342</v>
      </c>
      <c r="R126" s="291" t="s">
        <v>342</v>
      </c>
      <c r="S126" s="292" t="s">
        <v>342</v>
      </c>
      <c r="T126" s="290" t="s">
        <v>342</v>
      </c>
      <c r="U126" s="291" t="s">
        <v>342</v>
      </c>
      <c r="V126" s="291" t="s">
        <v>342</v>
      </c>
      <c r="W126" s="291" t="s">
        <v>342</v>
      </c>
      <c r="X126" s="291" t="s">
        <v>342</v>
      </c>
      <c r="Y126" s="291" t="s">
        <v>342</v>
      </c>
      <c r="Z126" s="291" t="s">
        <v>342</v>
      </c>
      <c r="AA126" s="292" t="s">
        <v>342</v>
      </c>
      <c r="AB126" s="290" t="s">
        <v>342</v>
      </c>
      <c r="AC126" s="291" t="s">
        <v>342</v>
      </c>
      <c r="AD126" s="291" t="s">
        <v>342</v>
      </c>
      <c r="AE126" s="291" t="s">
        <v>342</v>
      </c>
      <c r="AF126" s="291" t="s">
        <v>342</v>
      </c>
      <c r="AG126" s="291" t="s">
        <v>342</v>
      </c>
      <c r="AH126" s="291" t="s">
        <v>342</v>
      </c>
      <c r="AI126" s="292" t="s">
        <v>342</v>
      </c>
      <c r="AJ126" s="290" t="s">
        <v>342</v>
      </c>
      <c r="AK126" s="291" t="s">
        <v>342</v>
      </c>
      <c r="AL126" s="291" t="s">
        <v>342</v>
      </c>
      <c r="AM126" s="291" t="s">
        <v>342</v>
      </c>
      <c r="AN126" s="291" t="s">
        <v>342</v>
      </c>
      <c r="AO126" s="291" t="s">
        <v>342</v>
      </c>
      <c r="AP126" s="291" t="s">
        <v>342</v>
      </c>
      <c r="AQ126" s="292" t="s">
        <v>342</v>
      </c>
      <c r="AR126" s="290" t="s">
        <v>342</v>
      </c>
      <c r="AS126" s="291" t="s">
        <v>342</v>
      </c>
      <c r="AT126" s="291" t="s">
        <v>342</v>
      </c>
      <c r="AU126" s="291" t="s">
        <v>342</v>
      </c>
      <c r="AV126" s="291" t="s">
        <v>342</v>
      </c>
      <c r="AW126" s="291" t="s">
        <v>342</v>
      </c>
      <c r="AX126" s="291" t="s">
        <v>342</v>
      </c>
      <c r="AY126" s="292" t="s">
        <v>342</v>
      </c>
      <c r="AZ126" s="290" t="s">
        <v>342</v>
      </c>
      <c r="BA126" s="291" t="s">
        <v>342</v>
      </c>
      <c r="BB126" s="291" t="s">
        <v>342</v>
      </c>
      <c r="BC126" s="291" t="s">
        <v>342</v>
      </c>
      <c r="BD126" s="291" t="s">
        <v>342</v>
      </c>
      <c r="BE126" s="291" t="s">
        <v>342</v>
      </c>
      <c r="BF126" s="291" t="s">
        <v>342</v>
      </c>
      <c r="BG126" s="292" t="s">
        <v>342</v>
      </c>
      <c r="BH126" s="290" t="s">
        <v>342</v>
      </c>
      <c r="BI126" s="291" t="s">
        <v>342</v>
      </c>
      <c r="BJ126" s="291" t="s">
        <v>342</v>
      </c>
      <c r="BK126" s="291" t="s">
        <v>342</v>
      </c>
      <c r="BL126" s="291" t="s">
        <v>342</v>
      </c>
      <c r="BM126" s="291" t="s">
        <v>342</v>
      </c>
      <c r="BN126" s="291" t="s">
        <v>342</v>
      </c>
      <c r="BO126" s="292" t="s">
        <v>342</v>
      </c>
      <c r="BP126" s="290" t="s">
        <v>342</v>
      </c>
      <c r="BQ126" s="291" t="s">
        <v>342</v>
      </c>
      <c r="BR126" s="291" t="s">
        <v>342</v>
      </c>
      <c r="BS126" s="291" t="s">
        <v>342</v>
      </c>
      <c r="BT126" s="291" t="s">
        <v>342</v>
      </c>
      <c r="BU126" s="291" t="s">
        <v>342</v>
      </c>
      <c r="BV126" s="291" t="s">
        <v>342</v>
      </c>
      <c r="BW126" s="292" t="s">
        <v>342</v>
      </c>
      <c r="BX126" s="290" t="s">
        <v>342</v>
      </c>
      <c r="BY126" s="291" t="s">
        <v>342</v>
      </c>
      <c r="BZ126" s="291" t="s">
        <v>342</v>
      </c>
      <c r="CA126" s="291" t="s">
        <v>342</v>
      </c>
      <c r="CB126" s="291" t="s">
        <v>342</v>
      </c>
      <c r="CC126" s="291" t="s">
        <v>342</v>
      </c>
      <c r="CD126" s="291" t="s">
        <v>342</v>
      </c>
      <c r="CE126" s="292" t="s">
        <v>342</v>
      </c>
      <c r="CF126" s="290" t="s">
        <v>342</v>
      </c>
      <c r="CG126" s="291" t="s">
        <v>342</v>
      </c>
      <c r="CH126" s="291" t="s">
        <v>342</v>
      </c>
      <c r="CI126" s="291" t="s">
        <v>342</v>
      </c>
      <c r="CJ126" s="291" t="s">
        <v>342</v>
      </c>
      <c r="CK126" s="291" t="s">
        <v>342</v>
      </c>
      <c r="CL126" s="291" t="s">
        <v>342</v>
      </c>
      <c r="CM126" s="292" t="s">
        <v>342</v>
      </c>
      <c r="CN126" s="290" t="s">
        <v>342</v>
      </c>
      <c r="CO126" s="291" t="s">
        <v>342</v>
      </c>
      <c r="CP126" s="291" t="s">
        <v>342</v>
      </c>
      <c r="CQ126" s="291" t="s">
        <v>342</v>
      </c>
      <c r="CR126" s="291" t="s">
        <v>342</v>
      </c>
      <c r="CS126" s="291" t="s">
        <v>342</v>
      </c>
      <c r="CT126" s="291" t="s">
        <v>342</v>
      </c>
      <c r="CU126" s="292" t="s">
        <v>342</v>
      </c>
      <c r="CV126" s="290" t="s">
        <v>342</v>
      </c>
      <c r="CW126" s="291" t="s">
        <v>342</v>
      </c>
      <c r="CX126" s="291" t="s">
        <v>342</v>
      </c>
      <c r="CY126" s="291" t="s">
        <v>342</v>
      </c>
      <c r="CZ126" s="291" t="s">
        <v>342</v>
      </c>
      <c r="DA126" s="291" t="s">
        <v>342</v>
      </c>
      <c r="DB126" s="291" t="s">
        <v>342</v>
      </c>
      <c r="DC126" s="292" t="s">
        <v>342</v>
      </c>
      <c r="DF126" s="268"/>
      <c r="DG126" s="269"/>
      <c r="DH126" s="269"/>
      <c r="DI126" s="269"/>
      <c r="DJ126" s="269"/>
      <c r="DK126" s="269"/>
      <c r="DL126" s="269"/>
      <c r="DM126" s="269"/>
      <c r="DN126" s="269"/>
      <c r="DO126" s="269"/>
      <c r="DP126" s="269"/>
      <c r="DQ126" s="269"/>
      <c r="DR126" s="269"/>
      <c r="DS126" s="269"/>
      <c r="DT126" s="269"/>
      <c r="DU126" s="269"/>
      <c r="DV126" s="269"/>
      <c r="DW126" s="270" t="s">
        <v>342</v>
      </c>
    </row>
  </sheetData>
  <printOptions/>
  <pageMargins left="0.7874015748031497" right="0.7874015748031497" top="0.71" bottom="1.36" header="0.5118110236220472" footer="0.5118110236220472"/>
  <pageSetup fitToHeight="1" fitToWidth="1" horizontalDpi="300" verticalDpi="300" orientation="landscape" paperSize="9" scale="55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M143"/>
  <sheetViews>
    <sheetView showOutlineSymbols="0" workbookViewId="0" topLeftCell="A1">
      <selection activeCell="A1" sqref="A1"/>
    </sheetView>
  </sheetViews>
  <sheetFormatPr defaultColWidth="9.00390625" defaultRowHeight="12.75" outlineLevelCol="1"/>
  <cols>
    <col min="1" max="1" width="13.625" style="35" customWidth="1"/>
    <col min="2" max="2" width="3.625" style="27" customWidth="1"/>
    <col min="3" max="3" width="23.375" style="27" bestFit="1" customWidth="1"/>
    <col min="4" max="4" width="10.25390625" style="27" hidden="1" customWidth="1" outlineLevel="1"/>
    <col min="5" max="7" width="7.625" style="27" hidden="1" customWidth="1" outlineLevel="1"/>
    <col min="8" max="11" width="6.75390625" style="27" hidden="1" customWidth="1" outlineLevel="1"/>
    <col min="12" max="12" width="11.375" style="28" hidden="1" customWidth="1" outlineLevel="1"/>
    <col min="13" max="15" width="7.625" style="27" hidden="1" customWidth="1" outlineLevel="1"/>
    <col min="16" max="19" width="6.75390625" style="27" hidden="1" customWidth="1" outlineLevel="1"/>
    <col min="20" max="20" width="10.25390625" style="27" hidden="1" customWidth="1" outlineLevel="1"/>
    <col min="21" max="23" width="7.625" style="27" hidden="1" customWidth="1" outlineLevel="1"/>
    <col min="24" max="27" width="6.75390625" style="27" hidden="1" customWidth="1" outlineLevel="1"/>
    <col min="28" max="28" width="10.25390625" style="27" hidden="1" customWidth="1" outlineLevel="1"/>
    <col min="29" max="31" width="7.625" style="27" hidden="1" customWidth="1" outlineLevel="1"/>
    <col min="32" max="35" width="6.75390625" style="27" hidden="1" customWidth="1" outlineLevel="1"/>
    <col min="36" max="36" width="10.25390625" style="27" hidden="1" customWidth="1" outlineLevel="1"/>
    <col min="37" max="39" width="7.625" style="27" hidden="1" customWidth="1" outlineLevel="1"/>
    <col min="40" max="43" width="6.75390625" style="27" hidden="1" customWidth="1" outlineLevel="1"/>
    <col min="44" max="44" width="11.625" style="27" hidden="1" customWidth="1" outlineLevel="1"/>
    <col min="45" max="47" width="7.625" style="27" hidden="1" customWidth="1" outlineLevel="1"/>
    <col min="48" max="51" width="6.75390625" style="27" hidden="1" customWidth="1" outlineLevel="1"/>
    <col min="52" max="52" width="12.75390625" style="27" hidden="1" customWidth="1" outlineLevel="1"/>
    <col min="53" max="55" width="7.625" style="27" hidden="1" customWidth="1" outlineLevel="1"/>
    <col min="56" max="59" width="6.75390625" style="27" hidden="1" customWidth="1" outlineLevel="1"/>
    <col min="60" max="60" width="11.625" style="27" hidden="1" customWidth="1" outlineLevel="1"/>
    <col min="61" max="63" width="7.625" style="27" hidden="1" customWidth="1" outlineLevel="1"/>
    <col min="64" max="67" width="6.75390625" style="27" hidden="1" customWidth="1" outlineLevel="1"/>
    <col min="68" max="68" width="12.75390625" style="27" hidden="1" customWidth="1" outlineLevel="1"/>
    <col min="69" max="71" width="7.625" style="27" hidden="1" customWidth="1" outlineLevel="1"/>
    <col min="72" max="75" width="6.75390625" style="27" hidden="1" customWidth="1" outlineLevel="1"/>
    <col min="76" max="76" width="11.625" style="27" hidden="1" customWidth="1" outlineLevel="1"/>
    <col min="77" max="79" width="7.625" style="27" hidden="1" customWidth="1" outlineLevel="1"/>
    <col min="80" max="83" width="6.75390625" style="27" hidden="1" customWidth="1" outlineLevel="1"/>
    <col min="84" max="84" width="13.25390625" style="27" hidden="1" customWidth="1" outlineLevel="1"/>
    <col min="85" max="85" width="7.625" style="27" hidden="1" customWidth="1" outlineLevel="1"/>
    <col min="86" max="91" width="6.75390625" style="27" hidden="1" customWidth="1" outlineLevel="1"/>
    <col min="92" max="92" width="12.00390625" style="27" hidden="1" customWidth="1" outlineLevel="1"/>
    <col min="93" max="93" width="7.625" style="27" hidden="1" customWidth="1" outlineLevel="1"/>
    <col min="94" max="99" width="6.75390625" style="27" hidden="1" customWidth="1" outlineLevel="1"/>
    <col min="100" max="100" width="11.875" style="27" hidden="1" customWidth="1" outlineLevel="1"/>
    <col min="101" max="101" width="7.625" style="27" hidden="1" customWidth="1" outlineLevel="1"/>
    <col min="102" max="107" width="6.75390625" style="27" hidden="1" customWidth="1" outlineLevel="1"/>
    <col min="108" max="108" width="11.875" style="27" hidden="1" customWidth="1" outlineLevel="1"/>
    <col min="109" max="109" width="7.625" style="27" hidden="1" customWidth="1" outlineLevel="1"/>
    <col min="110" max="115" width="6.75390625" style="27" hidden="1" customWidth="1" outlineLevel="1"/>
    <col min="116" max="116" width="11.875" style="27" hidden="1" customWidth="1" outlineLevel="1"/>
    <col min="117" max="117" width="7.625" style="27" hidden="1" customWidth="1" outlineLevel="1"/>
    <col min="118" max="123" width="6.75390625" style="27" hidden="1" customWidth="1" outlineLevel="1"/>
    <col min="124" max="124" width="5.25390625" style="27" hidden="1" customWidth="1" outlineLevel="1"/>
    <col min="125" max="125" width="2.875" style="27" customWidth="1"/>
    <col min="126" max="126" width="6.375" style="27" bestFit="1" customWidth="1"/>
    <col min="127" max="127" width="8.75390625" style="27" bestFit="1" customWidth="1"/>
    <col min="128" max="128" width="7.00390625" style="27" bestFit="1" customWidth="1"/>
    <col min="129" max="142" width="8.875" style="27" customWidth="1"/>
    <col min="143" max="143" width="5.25390625" style="27" customWidth="1"/>
    <col min="144" max="16384" width="9.125" style="27" customWidth="1"/>
  </cols>
  <sheetData>
    <row r="1" spans="126:142" ht="10.5">
      <c r="DV1" s="29" t="s">
        <v>26</v>
      </c>
      <c r="DW1" s="29" t="s">
        <v>27</v>
      </c>
      <c r="DX1" s="29" t="s">
        <v>28</v>
      </c>
      <c r="DY1" s="29" t="s">
        <v>28</v>
      </c>
      <c r="DZ1" s="29" t="s">
        <v>28</v>
      </c>
      <c r="EA1" s="29" t="s">
        <v>28</v>
      </c>
      <c r="EB1" s="29" t="s">
        <v>28</v>
      </c>
      <c r="EC1" s="29" t="s">
        <v>28</v>
      </c>
      <c r="ED1" s="29" t="s">
        <v>28</v>
      </c>
      <c r="EE1" s="29" t="s">
        <v>28</v>
      </c>
      <c r="EF1" s="29" t="s">
        <v>28</v>
      </c>
      <c r="EG1" s="29" t="s">
        <v>28</v>
      </c>
      <c r="EH1" s="29" t="s">
        <v>28</v>
      </c>
      <c r="EI1" s="29" t="s">
        <v>28</v>
      </c>
      <c r="EJ1" s="29" t="s">
        <v>28</v>
      </c>
      <c r="EK1" s="29" t="s">
        <v>28</v>
      </c>
      <c r="EL1" s="29" t="s">
        <v>28</v>
      </c>
    </row>
    <row r="2" spans="2:143" ht="10.5">
      <c r="B2" s="30"/>
      <c r="C2" s="31" t="s">
        <v>60</v>
      </c>
      <c r="D2" s="31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V2" s="33" t="str">
        <f>VLOOKUP(DV1,Классификаторы!$A$55:$B$66,2,0)</f>
        <v>Цех 1</v>
      </c>
      <c r="DW2" s="33" t="str">
        <f>VLOOKUP(DW1,Классификаторы!$A$55:$B$66,2,0)</f>
        <v>Цех 2</v>
      </c>
      <c r="DX2" s="33" t="str">
        <f>VLOOKUP(DX1,Классификаторы!$A$55:$B$66,2,0)</f>
        <v>Цех 3</v>
      </c>
      <c r="DY2" s="33" t="str">
        <f>VLOOKUP(DY1,Классификаторы!$A$55:$B$66,2,0)</f>
        <v>Цех 3</v>
      </c>
      <c r="DZ2" s="33" t="str">
        <f>VLOOKUP(DZ1,Классификаторы!$A$55:$B$66,2,0)</f>
        <v>Цех 3</v>
      </c>
      <c r="EA2" s="33" t="str">
        <f>VLOOKUP(EA1,Классификаторы!$A$55:$B$66,2,0)</f>
        <v>Цех 3</v>
      </c>
      <c r="EB2" s="33" t="str">
        <f>VLOOKUP(EB1,Классификаторы!$A$55:$B$66,2,0)</f>
        <v>Цех 3</v>
      </c>
      <c r="EC2" s="33" t="str">
        <f>VLOOKUP(EC1,Классификаторы!$A$55:$B$66,2,0)</f>
        <v>Цех 3</v>
      </c>
      <c r="ED2" s="33" t="str">
        <f>VLOOKUP(ED1,Классификаторы!$A$55:$B$66,2,0)</f>
        <v>Цех 3</v>
      </c>
      <c r="EE2" s="33" t="str">
        <f>VLOOKUP(EE1,Классификаторы!$A$55:$B$66,2,0)</f>
        <v>Цех 3</v>
      </c>
      <c r="EF2" s="33" t="str">
        <f>VLOOKUP(EF1,Классификаторы!$A$55:$B$66,2,0)</f>
        <v>Цех 3</v>
      </c>
      <c r="EG2" s="33" t="str">
        <f>VLOOKUP(EG1,Классификаторы!$A$55:$B$66,2,0)</f>
        <v>Цех 3</v>
      </c>
      <c r="EH2" s="33" t="str">
        <f>VLOOKUP(EH1,Классификаторы!$A$55:$B$66,2,0)</f>
        <v>Цех 3</v>
      </c>
      <c r="EI2" s="33" t="str">
        <f>VLOOKUP(EI1,Классификаторы!$A$55:$B$66,2,0)</f>
        <v>Цех 3</v>
      </c>
      <c r="EJ2" s="33" t="str">
        <f>VLOOKUP(EJ1,Классификаторы!$A$55:$B$66,2,0)</f>
        <v>Цех 3</v>
      </c>
      <c r="EK2" s="33" t="str">
        <f>VLOOKUP(EK1,Классификаторы!$A$55:$B$66,2,0)</f>
        <v>Цех 3</v>
      </c>
      <c r="EL2" s="33" t="str">
        <f>VLOOKUP(EL1,Классификаторы!$A$55:$B$66,2,0)</f>
        <v>Цех 3</v>
      </c>
      <c r="EM2" s="34"/>
    </row>
    <row r="3" spans="2:143" ht="10.5">
      <c r="B3" s="30"/>
      <c r="C3" s="31"/>
      <c r="D3" s="31"/>
      <c r="E3" s="31"/>
      <c r="F3" s="31"/>
      <c r="G3" s="31"/>
      <c r="H3" s="31"/>
      <c r="I3" s="31"/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V3" s="34"/>
      <c r="DW3" s="34"/>
      <c r="DX3" s="26" t="s">
        <v>250</v>
      </c>
      <c r="DY3" s="26" t="s">
        <v>251</v>
      </c>
      <c r="DZ3" s="26" t="s">
        <v>252</v>
      </c>
      <c r="EA3" s="26" t="s">
        <v>253</v>
      </c>
      <c r="EB3" s="26" t="s">
        <v>254</v>
      </c>
      <c r="EC3" s="26" t="s">
        <v>255</v>
      </c>
      <c r="ED3" s="26" t="s">
        <v>256</v>
      </c>
      <c r="EE3" s="26" t="s">
        <v>257</v>
      </c>
      <c r="EF3" s="26" t="s">
        <v>258</v>
      </c>
      <c r="EG3" s="26" t="s">
        <v>259</v>
      </c>
      <c r="EH3" s="26" t="s">
        <v>264</v>
      </c>
      <c r="EI3" s="26" t="s">
        <v>265</v>
      </c>
      <c r="EJ3" s="26" t="s">
        <v>267</v>
      </c>
      <c r="EK3" s="26" t="s">
        <v>268</v>
      </c>
      <c r="EL3" s="26" t="s">
        <v>269</v>
      </c>
      <c r="EM3" s="34"/>
    </row>
    <row r="4" spans="2:143" ht="95.25">
      <c r="B4" s="30"/>
      <c r="C4" s="34" t="s">
        <v>61</v>
      </c>
      <c r="D4" s="34"/>
      <c r="E4" s="34"/>
      <c r="F4" s="34"/>
      <c r="G4" s="34"/>
      <c r="H4" s="34"/>
      <c r="I4" s="34"/>
      <c r="J4" s="34"/>
      <c r="K4" s="34"/>
      <c r="L4" s="36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7" t="s">
        <v>59</v>
      </c>
      <c r="DV4" s="38" t="s">
        <v>411</v>
      </c>
      <c r="DW4" s="38" t="s">
        <v>412</v>
      </c>
      <c r="DX4" s="39" t="str">
        <f>VLOOKUP(DX3,Классификаторы!$A$71:$B$91,2,0)</f>
        <v>Продукт 1</v>
      </c>
      <c r="DY4" s="39" t="str">
        <f>VLOOKUP(DY3,Классификаторы!$A$71:$B$91,2,0)</f>
        <v>Продукт 2</v>
      </c>
      <c r="DZ4" s="39" t="str">
        <f>VLOOKUP(DZ3,Классификаторы!$A$71:$B$91,2,0)</f>
        <v>Продукт 3</v>
      </c>
      <c r="EA4" s="39" t="str">
        <f>VLOOKUP(EA3,Классификаторы!$A$71:$B$91,2,0)</f>
        <v>Продукт 4</v>
      </c>
      <c r="EB4" s="39" t="str">
        <f>VLOOKUP(EB3,Классификаторы!$A$71:$B$91,2,0)</f>
        <v>Продукт 5</v>
      </c>
      <c r="EC4" s="39" t="str">
        <f>VLOOKUP(EC3,Классификаторы!$A$71:$B$91,2,0)</f>
        <v>Продукт 6</v>
      </c>
      <c r="ED4" s="39" t="str">
        <f>VLOOKUP(ED3,Классификаторы!$A$71:$B$91,2,0)</f>
        <v>Продукт 7</v>
      </c>
      <c r="EE4" s="39" t="str">
        <f>VLOOKUP(EE3,Классификаторы!$A$71:$B$91,2,0)</f>
        <v>Продукт 8</v>
      </c>
      <c r="EF4" s="39" t="str">
        <f>VLOOKUP(EF3,Классификаторы!$A$71:$B$91,2,0)</f>
        <v>Продукт 9</v>
      </c>
      <c r="EG4" s="39" t="str">
        <f>VLOOKUP(EG3,Классификаторы!$A$71:$B$91,2,0)</f>
        <v>Продукт 10</v>
      </c>
      <c r="EH4" s="39" t="str">
        <f>VLOOKUP(EH3,Классификаторы!$A$71:$B$91,2,0)</f>
        <v>Продукт 11</v>
      </c>
      <c r="EI4" s="39" t="str">
        <f>VLOOKUP(EI3,Классификаторы!$A$71:$B$91,2,0)</f>
        <v>Продукт 12</v>
      </c>
      <c r="EJ4" s="39" t="str">
        <f>VLOOKUP(EJ3,Классификаторы!$A$71:$B$91,2,0)</f>
        <v>Продукт 13</v>
      </c>
      <c r="EK4" s="39" t="str">
        <f>VLOOKUP(EK3,Классификаторы!$A$71:$B$91,2,0)</f>
        <v>Продукт 14</v>
      </c>
      <c r="EL4" s="39" t="str">
        <f>VLOOKUP(EL3,Классификаторы!$A$71:$B$91,2,0)</f>
        <v>Продукт 15</v>
      </c>
      <c r="EM4" s="293" t="s">
        <v>64</v>
      </c>
    </row>
    <row r="5" spans="2:143" ht="10.5">
      <c r="B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 t="s">
        <v>249</v>
      </c>
      <c r="DW5" s="30" t="s">
        <v>249</v>
      </c>
      <c r="DX5" s="30" t="s">
        <v>249</v>
      </c>
      <c r="DY5" s="30" t="s">
        <v>249</v>
      </c>
      <c r="DZ5" s="30" t="s">
        <v>249</v>
      </c>
      <c r="EA5" s="30" t="s">
        <v>249</v>
      </c>
      <c r="EB5" s="30" t="s">
        <v>249</v>
      </c>
      <c r="EC5" s="30" t="s">
        <v>249</v>
      </c>
      <c r="ED5" s="30" t="s">
        <v>249</v>
      </c>
      <c r="EE5" s="30" t="s">
        <v>249</v>
      </c>
      <c r="EF5" s="30" t="s">
        <v>249</v>
      </c>
      <c r="EG5" s="30" t="s">
        <v>249</v>
      </c>
      <c r="EH5" s="30" t="s">
        <v>247</v>
      </c>
      <c r="EI5" s="30" t="s">
        <v>247</v>
      </c>
      <c r="EJ5" s="30" t="s">
        <v>247</v>
      </c>
      <c r="EK5" s="30" t="s">
        <v>247</v>
      </c>
      <c r="EL5" s="30" t="s">
        <v>247</v>
      </c>
      <c r="EM5" s="30"/>
    </row>
    <row r="6" spans="1:143" ht="10.5" hidden="1">
      <c r="A6" s="49" t="s">
        <v>386</v>
      </c>
      <c r="B6" s="40">
        <v>1</v>
      </c>
      <c r="C6" s="41" t="s">
        <v>145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271">
        <v>0</v>
      </c>
      <c r="DW6" s="272">
        <v>0</v>
      </c>
      <c r="DX6" s="272">
        <v>1</v>
      </c>
      <c r="DY6" s="272">
        <v>0</v>
      </c>
      <c r="DZ6" s="272">
        <v>0</v>
      </c>
      <c r="EA6" s="272">
        <v>0</v>
      </c>
      <c r="EB6" s="272">
        <v>0</v>
      </c>
      <c r="EC6" s="272">
        <v>0</v>
      </c>
      <c r="ED6" s="272">
        <v>0</v>
      </c>
      <c r="EE6" s="272">
        <v>0</v>
      </c>
      <c r="EF6" s="272">
        <v>0</v>
      </c>
      <c r="EG6" s="272">
        <v>0</v>
      </c>
      <c r="EH6" s="272">
        <v>0</v>
      </c>
      <c r="EI6" s="272">
        <v>0</v>
      </c>
      <c r="EJ6" s="272">
        <v>0</v>
      </c>
      <c r="EK6" s="272">
        <v>0</v>
      </c>
      <c r="EL6" s="272">
        <v>0</v>
      </c>
      <c r="EM6" s="286" t="s">
        <v>342</v>
      </c>
    </row>
    <row r="7" spans="2:143" ht="10.5" hidden="1">
      <c r="B7" s="30"/>
      <c r="C7" s="41" t="s">
        <v>147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273">
        <v>0</v>
      </c>
      <c r="DW7" s="274">
        <v>0</v>
      </c>
      <c r="DX7" s="274">
        <v>0</v>
      </c>
      <c r="DY7" s="274">
        <v>0</v>
      </c>
      <c r="DZ7" s="274">
        <v>0</v>
      </c>
      <c r="EA7" s="274">
        <v>0</v>
      </c>
      <c r="EB7" s="274">
        <v>0</v>
      </c>
      <c r="EC7" s="274">
        <v>0</v>
      </c>
      <c r="ED7" s="274">
        <v>0</v>
      </c>
      <c r="EE7" s="274">
        <v>0</v>
      </c>
      <c r="EF7" s="274">
        <v>0</v>
      </c>
      <c r="EG7" s="274">
        <v>0</v>
      </c>
      <c r="EH7" s="274">
        <v>0</v>
      </c>
      <c r="EI7" s="274">
        <v>0</v>
      </c>
      <c r="EJ7" s="274">
        <v>0</v>
      </c>
      <c r="EK7" s="274">
        <v>0</v>
      </c>
      <c r="EL7" s="274">
        <v>0</v>
      </c>
      <c r="EM7" s="283" t="s">
        <v>342</v>
      </c>
    </row>
    <row r="8" spans="2:143" ht="10.5" hidden="1">
      <c r="B8" s="30"/>
      <c r="C8" s="41" t="s">
        <v>149</v>
      </c>
      <c r="D8" s="41"/>
      <c r="E8" s="41"/>
      <c r="F8" s="41"/>
      <c r="G8" s="41"/>
      <c r="H8" s="41"/>
      <c r="I8" s="41"/>
      <c r="J8" s="41"/>
      <c r="K8" s="4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273">
        <v>0</v>
      </c>
      <c r="DW8" s="274">
        <v>0</v>
      </c>
      <c r="DX8" s="274">
        <v>0</v>
      </c>
      <c r="DY8" s="274">
        <v>0</v>
      </c>
      <c r="DZ8" s="274">
        <v>0</v>
      </c>
      <c r="EA8" s="274">
        <v>0</v>
      </c>
      <c r="EB8" s="274">
        <v>0</v>
      </c>
      <c r="EC8" s="274">
        <v>0</v>
      </c>
      <c r="ED8" s="274">
        <v>0</v>
      </c>
      <c r="EE8" s="274">
        <v>0</v>
      </c>
      <c r="EF8" s="274">
        <v>0</v>
      </c>
      <c r="EG8" s="274">
        <v>0</v>
      </c>
      <c r="EH8" s="274">
        <v>0</v>
      </c>
      <c r="EI8" s="274">
        <v>0</v>
      </c>
      <c r="EJ8" s="274">
        <v>0</v>
      </c>
      <c r="EK8" s="274">
        <v>0</v>
      </c>
      <c r="EL8" s="274">
        <v>0</v>
      </c>
      <c r="EM8" s="283" t="s">
        <v>342</v>
      </c>
    </row>
    <row r="9" spans="2:143" ht="10.5" hidden="1">
      <c r="B9" s="30"/>
      <c r="C9" s="41" t="s">
        <v>151</v>
      </c>
      <c r="D9" s="41"/>
      <c r="E9" s="41"/>
      <c r="F9" s="41"/>
      <c r="G9" s="41"/>
      <c r="H9" s="41"/>
      <c r="I9" s="41"/>
      <c r="J9" s="41"/>
      <c r="K9" s="4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273">
        <v>0</v>
      </c>
      <c r="DW9" s="274">
        <v>0</v>
      </c>
      <c r="DX9" s="274">
        <v>0</v>
      </c>
      <c r="DY9" s="274">
        <v>0</v>
      </c>
      <c r="DZ9" s="274">
        <v>0</v>
      </c>
      <c r="EA9" s="274">
        <v>0</v>
      </c>
      <c r="EB9" s="274">
        <v>0</v>
      </c>
      <c r="EC9" s="274">
        <v>0</v>
      </c>
      <c r="ED9" s="274">
        <v>0</v>
      </c>
      <c r="EE9" s="274">
        <v>0</v>
      </c>
      <c r="EF9" s="274">
        <v>0</v>
      </c>
      <c r="EG9" s="274">
        <v>0</v>
      </c>
      <c r="EH9" s="274">
        <v>0</v>
      </c>
      <c r="EI9" s="274">
        <v>0</v>
      </c>
      <c r="EJ9" s="274">
        <v>0</v>
      </c>
      <c r="EK9" s="274">
        <v>0</v>
      </c>
      <c r="EL9" s="274">
        <v>0</v>
      </c>
      <c r="EM9" s="283" t="s">
        <v>342</v>
      </c>
    </row>
    <row r="10" spans="2:143" ht="10.5" hidden="1">
      <c r="B10" s="30"/>
      <c r="C10" s="41" t="s">
        <v>153</v>
      </c>
      <c r="D10" s="41"/>
      <c r="E10" s="41"/>
      <c r="F10" s="41"/>
      <c r="G10" s="41"/>
      <c r="H10" s="41"/>
      <c r="I10" s="41"/>
      <c r="J10" s="41"/>
      <c r="K10" s="41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273">
        <v>0</v>
      </c>
      <c r="DW10" s="274">
        <v>0</v>
      </c>
      <c r="DX10" s="274">
        <v>0</v>
      </c>
      <c r="DY10" s="274">
        <v>0</v>
      </c>
      <c r="DZ10" s="274">
        <v>0</v>
      </c>
      <c r="EA10" s="274">
        <v>0</v>
      </c>
      <c r="EB10" s="274">
        <v>0</v>
      </c>
      <c r="EC10" s="274">
        <v>0</v>
      </c>
      <c r="ED10" s="274">
        <v>0</v>
      </c>
      <c r="EE10" s="274">
        <v>0</v>
      </c>
      <c r="EF10" s="274">
        <v>0</v>
      </c>
      <c r="EG10" s="274">
        <v>0</v>
      </c>
      <c r="EH10" s="274">
        <v>0</v>
      </c>
      <c r="EI10" s="274">
        <v>0</v>
      </c>
      <c r="EJ10" s="274">
        <v>0</v>
      </c>
      <c r="EK10" s="274">
        <v>0</v>
      </c>
      <c r="EL10" s="274">
        <v>0</v>
      </c>
      <c r="EM10" s="283" t="s">
        <v>342</v>
      </c>
    </row>
    <row r="11" spans="2:143" ht="10.5" hidden="1">
      <c r="B11" s="30"/>
      <c r="C11" s="41" t="s">
        <v>155</v>
      </c>
      <c r="D11" s="41"/>
      <c r="E11" s="41"/>
      <c r="F11" s="41"/>
      <c r="G11" s="41"/>
      <c r="H11" s="41"/>
      <c r="I11" s="41"/>
      <c r="J11" s="41"/>
      <c r="K11" s="41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273">
        <v>0</v>
      </c>
      <c r="DW11" s="274">
        <v>0</v>
      </c>
      <c r="DX11" s="274">
        <v>0</v>
      </c>
      <c r="DY11" s="274">
        <v>0</v>
      </c>
      <c r="DZ11" s="274">
        <v>0</v>
      </c>
      <c r="EA11" s="274">
        <v>0</v>
      </c>
      <c r="EB11" s="274">
        <v>0</v>
      </c>
      <c r="EC11" s="274">
        <v>0</v>
      </c>
      <c r="ED11" s="274">
        <v>0</v>
      </c>
      <c r="EE11" s="274">
        <v>0</v>
      </c>
      <c r="EF11" s="274">
        <v>0</v>
      </c>
      <c r="EG11" s="274">
        <v>0</v>
      </c>
      <c r="EH11" s="274">
        <v>0</v>
      </c>
      <c r="EI11" s="274">
        <v>0</v>
      </c>
      <c r="EJ11" s="274">
        <v>0</v>
      </c>
      <c r="EK11" s="274">
        <v>0</v>
      </c>
      <c r="EL11" s="274">
        <v>0</v>
      </c>
      <c r="EM11" s="283" t="s">
        <v>342</v>
      </c>
    </row>
    <row r="12" spans="2:143" ht="10.5" hidden="1">
      <c r="B12" s="30"/>
      <c r="C12" s="41" t="s">
        <v>157</v>
      </c>
      <c r="D12" s="41"/>
      <c r="E12" s="41"/>
      <c r="F12" s="41"/>
      <c r="G12" s="41"/>
      <c r="H12" s="41"/>
      <c r="I12" s="41"/>
      <c r="J12" s="41"/>
      <c r="K12" s="41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273">
        <v>0</v>
      </c>
      <c r="DW12" s="274">
        <v>0</v>
      </c>
      <c r="DX12" s="274">
        <v>0</v>
      </c>
      <c r="DY12" s="274">
        <v>0</v>
      </c>
      <c r="DZ12" s="274">
        <v>0</v>
      </c>
      <c r="EA12" s="274">
        <v>0</v>
      </c>
      <c r="EB12" s="274">
        <v>0</v>
      </c>
      <c r="EC12" s="274">
        <v>0</v>
      </c>
      <c r="ED12" s="274">
        <v>0</v>
      </c>
      <c r="EE12" s="274">
        <v>0</v>
      </c>
      <c r="EF12" s="274">
        <v>0</v>
      </c>
      <c r="EG12" s="274">
        <v>0</v>
      </c>
      <c r="EH12" s="274">
        <v>0</v>
      </c>
      <c r="EI12" s="274">
        <v>0</v>
      </c>
      <c r="EJ12" s="274">
        <v>0</v>
      </c>
      <c r="EK12" s="274">
        <v>0</v>
      </c>
      <c r="EL12" s="274">
        <v>0</v>
      </c>
      <c r="EM12" s="283" t="s">
        <v>342</v>
      </c>
    </row>
    <row r="13" spans="2:143" ht="10.5" hidden="1">
      <c r="B13" s="30"/>
      <c r="C13" s="40" t="s">
        <v>160</v>
      </c>
      <c r="D13" s="34"/>
      <c r="E13" s="34"/>
      <c r="F13" s="34"/>
      <c r="G13" s="34"/>
      <c r="H13" s="34"/>
      <c r="I13" s="34"/>
      <c r="J13" s="34"/>
      <c r="K13" s="34"/>
      <c r="L13" s="36"/>
      <c r="M13" s="34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277">
        <v>0</v>
      </c>
      <c r="DW13" s="278">
        <v>0</v>
      </c>
      <c r="DX13" s="278">
        <v>1</v>
      </c>
      <c r="DY13" s="278">
        <v>0</v>
      </c>
      <c r="DZ13" s="278">
        <v>0</v>
      </c>
      <c r="EA13" s="278">
        <v>0</v>
      </c>
      <c r="EB13" s="278">
        <v>0</v>
      </c>
      <c r="EC13" s="278">
        <v>0</v>
      </c>
      <c r="ED13" s="278">
        <v>0</v>
      </c>
      <c r="EE13" s="278">
        <v>0</v>
      </c>
      <c r="EF13" s="278">
        <v>0</v>
      </c>
      <c r="EG13" s="278">
        <v>0</v>
      </c>
      <c r="EH13" s="278">
        <v>0</v>
      </c>
      <c r="EI13" s="278">
        <v>0</v>
      </c>
      <c r="EJ13" s="278">
        <v>0</v>
      </c>
      <c r="EK13" s="278">
        <v>0</v>
      </c>
      <c r="EL13" s="278">
        <v>0</v>
      </c>
      <c r="EM13" s="294" t="s">
        <v>342</v>
      </c>
    </row>
    <row r="14" spans="1:143" ht="10.5" hidden="1">
      <c r="A14" s="49" t="s">
        <v>387</v>
      </c>
      <c r="B14" s="40">
        <v>2</v>
      </c>
      <c r="C14" s="41" t="s">
        <v>145</v>
      </c>
      <c r="D14" s="41"/>
      <c r="E14" s="41"/>
      <c r="F14" s="41"/>
      <c r="G14" s="41"/>
      <c r="H14" s="41"/>
      <c r="I14" s="41"/>
      <c r="J14" s="41"/>
      <c r="K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30"/>
      <c r="DV14" s="271">
        <v>0</v>
      </c>
      <c r="DW14" s="272">
        <v>0</v>
      </c>
      <c r="DX14" s="272">
        <v>0</v>
      </c>
      <c r="DY14" s="272">
        <v>1</v>
      </c>
      <c r="DZ14" s="272">
        <v>0</v>
      </c>
      <c r="EA14" s="272">
        <v>0</v>
      </c>
      <c r="EB14" s="272">
        <v>0</v>
      </c>
      <c r="EC14" s="272">
        <v>0</v>
      </c>
      <c r="ED14" s="272">
        <v>0</v>
      </c>
      <c r="EE14" s="272">
        <v>0</v>
      </c>
      <c r="EF14" s="272">
        <v>0</v>
      </c>
      <c r="EG14" s="272">
        <v>0</v>
      </c>
      <c r="EH14" s="272">
        <v>0</v>
      </c>
      <c r="EI14" s="272">
        <v>0</v>
      </c>
      <c r="EJ14" s="272">
        <v>0</v>
      </c>
      <c r="EK14" s="272">
        <v>0</v>
      </c>
      <c r="EL14" s="272">
        <v>0</v>
      </c>
      <c r="EM14" s="286" t="s">
        <v>342</v>
      </c>
    </row>
    <row r="15" spans="2:143" ht="10.5" hidden="1">
      <c r="B15" s="30"/>
      <c r="C15" s="41" t="s">
        <v>147</v>
      </c>
      <c r="D15" s="41"/>
      <c r="E15" s="41"/>
      <c r="F15" s="41"/>
      <c r="G15" s="41"/>
      <c r="H15" s="41"/>
      <c r="I15" s="41"/>
      <c r="J15" s="41"/>
      <c r="K15" s="4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273">
        <v>0</v>
      </c>
      <c r="DW15" s="274">
        <v>0</v>
      </c>
      <c r="DX15" s="274">
        <v>0</v>
      </c>
      <c r="DY15" s="274">
        <v>0</v>
      </c>
      <c r="DZ15" s="274">
        <v>0</v>
      </c>
      <c r="EA15" s="274">
        <v>0</v>
      </c>
      <c r="EB15" s="274">
        <v>0</v>
      </c>
      <c r="EC15" s="274">
        <v>0</v>
      </c>
      <c r="ED15" s="274">
        <v>0</v>
      </c>
      <c r="EE15" s="274">
        <v>0</v>
      </c>
      <c r="EF15" s="274">
        <v>0</v>
      </c>
      <c r="EG15" s="274">
        <v>0</v>
      </c>
      <c r="EH15" s="274">
        <v>0</v>
      </c>
      <c r="EI15" s="274">
        <v>0</v>
      </c>
      <c r="EJ15" s="274">
        <v>0</v>
      </c>
      <c r="EK15" s="274">
        <v>0</v>
      </c>
      <c r="EL15" s="274">
        <v>0</v>
      </c>
      <c r="EM15" s="283" t="s">
        <v>342</v>
      </c>
    </row>
    <row r="16" spans="2:143" ht="10.5" hidden="1">
      <c r="B16" s="30"/>
      <c r="C16" s="41" t="s">
        <v>149</v>
      </c>
      <c r="D16" s="41"/>
      <c r="E16" s="41"/>
      <c r="F16" s="41"/>
      <c r="G16" s="41"/>
      <c r="H16" s="41"/>
      <c r="I16" s="41"/>
      <c r="J16" s="41"/>
      <c r="K16" s="41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273">
        <v>0</v>
      </c>
      <c r="DW16" s="274">
        <v>0</v>
      </c>
      <c r="DX16" s="274">
        <v>0</v>
      </c>
      <c r="DY16" s="274">
        <v>0</v>
      </c>
      <c r="DZ16" s="274">
        <v>0</v>
      </c>
      <c r="EA16" s="274">
        <v>0</v>
      </c>
      <c r="EB16" s="274">
        <v>0</v>
      </c>
      <c r="EC16" s="274">
        <v>0</v>
      </c>
      <c r="ED16" s="274">
        <v>0</v>
      </c>
      <c r="EE16" s="274">
        <v>0</v>
      </c>
      <c r="EF16" s="274">
        <v>0</v>
      </c>
      <c r="EG16" s="274">
        <v>0</v>
      </c>
      <c r="EH16" s="274">
        <v>0</v>
      </c>
      <c r="EI16" s="274">
        <v>0</v>
      </c>
      <c r="EJ16" s="274">
        <v>0</v>
      </c>
      <c r="EK16" s="274">
        <v>0</v>
      </c>
      <c r="EL16" s="274">
        <v>0</v>
      </c>
      <c r="EM16" s="283" t="s">
        <v>342</v>
      </c>
    </row>
    <row r="17" spans="2:143" ht="10.5" hidden="1">
      <c r="B17" s="30"/>
      <c r="C17" s="41" t="s">
        <v>151</v>
      </c>
      <c r="D17" s="41"/>
      <c r="E17" s="41"/>
      <c r="F17" s="41"/>
      <c r="G17" s="41"/>
      <c r="H17" s="41"/>
      <c r="I17" s="41"/>
      <c r="J17" s="41"/>
      <c r="K17" s="4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273">
        <v>0</v>
      </c>
      <c r="DW17" s="274">
        <v>0</v>
      </c>
      <c r="DX17" s="274">
        <v>0</v>
      </c>
      <c r="DY17" s="274">
        <v>0</v>
      </c>
      <c r="DZ17" s="274">
        <v>0</v>
      </c>
      <c r="EA17" s="274">
        <v>0</v>
      </c>
      <c r="EB17" s="274">
        <v>0</v>
      </c>
      <c r="EC17" s="274">
        <v>0</v>
      </c>
      <c r="ED17" s="274">
        <v>0</v>
      </c>
      <c r="EE17" s="274">
        <v>0</v>
      </c>
      <c r="EF17" s="274">
        <v>0</v>
      </c>
      <c r="EG17" s="274">
        <v>0</v>
      </c>
      <c r="EH17" s="274">
        <v>0</v>
      </c>
      <c r="EI17" s="274">
        <v>0</v>
      </c>
      <c r="EJ17" s="274">
        <v>0</v>
      </c>
      <c r="EK17" s="274">
        <v>0</v>
      </c>
      <c r="EL17" s="274">
        <v>0</v>
      </c>
      <c r="EM17" s="283" t="s">
        <v>342</v>
      </c>
    </row>
    <row r="18" spans="2:143" ht="10.5" hidden="1">
      <c r="B18" s="30"/>
      <c r="C18" s="41" t="s">
        <v>153</v>
      </c>
      <c r="D18" s="41"/>
      <c r="E18" s="41"/>
      <c r="F18" s="41"/>
      <c r="G18" s="41"/>
      <c r="H18" s="41"/>
      <c r="I18" s="41"/>
      <c r="J18" s="41"/>
      <c r="K18" s="4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273">
        <v>0</v>
      </c>
      <c r="DW18" s="274">
        <v>0</v>
      </c>
      <c r="DX18" s="274">
        <v>0</v>
      </c>
      <c r="DY18" s="274">
        <v>0</v>
      </c>
      <c r="DZ18" s="274">
        <v>0</v>
      </c>
      <c r="EA18" s="274">
        <v>0</v>
      </c>
      <c r="EB18" s="274">
        <v>0</v>
      </c>
      <c r="EC18" s="274">
        <v>0</v>
      </c>
      <c r="ED18" s="274">
        <v>0</v>
      </c>
      <c r="EE18" s="274">
        <v>0</v>
      </c>
      <c r="EF18" s="274">
        <v>0</v>
      </c>
      <c r="EG18" s="274">
        <v>0</v>
      </c>
      <c r="EH18" s="274">
        <v>0</v>
      </c>
      <c r="EI18" s="274">
        <v>0</v>
      </c>
      <c r="EJ18" s="274">
        <v>0</v>
      </c>
      <c r="EK18" s="274">
        <v>0</v>
      </c>
      <c r="EL18" s="274">
        <v>0</v>
      </c>
      <c r="EM18" s="283" t="s">
        <v>342</v>
      </c>
    </row>
    <row r="19" spans="2:143" ht="10.5" hidden="1">
      <c r="B19" s="30"/>
      <c r="C19" s="41" t="s">
        <v>155</v>
      </c>
      <c r="D19" s="41"/>
      <c r="E19" s="41"/>
      <c r="F19" s="41"/>
      <c r="G19" s="41"/>
      <c r="H19" s="41"/>
      <c r="I19" s="41"/>
      <c r="J19" s="41"/>
      <c r="K19" s="4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273">
        <v>0</v>
      </c>
      <c r="DW19" s="274">
        <v>0</v>
      </c>
      <c r="DX19" s="274">
        <v>0</v>
      </c>
      <c r="DY19" s="274">
        <v>0</v>
      </c>
      <c r="DZ19" s="274">
        <v>0</v>
      </c>
      <c r="EA19" s="274">
        <v>0</v>
      </c>
      <c r="EB19" s="274">
        <v>0</v>
      </c>
      <c r="EC19" s="274">
        <v>0</v>
      </c>
      <c r="ED19" s="274">
        <v>0</v>
      </c>
      <c r="EE19" s="274">
        <v>0</v>
      </c>
      <c r="EF19" s="274">
        <v>0</v>
      </c>
      <c r="EG19" s="274">
        <v>0</v>
      </c>
      <c r="EH19" s="274">
        <v>0</v>
      </c>
      <c r="EI19" s="274">
        <v>0</v>
      </c>
      <c r="EJ19" s="274">
        <v>0</v>
      </c>
      <c r="EK19" s="274">
        <v>0</v>
      </c>
      <c r="EL19" s="274">
        <v>0</v>
      </c>
      <c r="EM19" s="283" t="s">
        <v>342</v>
      </c>
    </row>
    <row r="20" spans="2:143" ht="10.5" hidden="1">
      <c r="B20" s="30"/>
      <c r="C20" s="41" t="s">
        <v>157</v>
      </c>
      <c r="D20" s="41"/>
      <c r="E20" s="41"/>
      <c r="F20" s="41"/>
      <c r="G20" s="41"/>
      <c r="H20" s="41"/>
      <c r="I20" s="41"/>
      <c r="J20" s="41"/>
      <c r="K20" s="4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273">
        <v>0</v>
      </c>
      <c r="DW20" s="274">
        <v>0</v>
      </c>
      <c r="DX20" s="274">
        <v>0</v>
      </c>
      <c r="DY20" s="274">
        <v>0</v>
      </c>
      <c r="DZ20" s="274">
        <v>0</v>
      </c>
      <c r="EA20" s="274">
        <v>0</v>
      </c>
      <c r="EB20" s="274">
        <v>0</v>
      </c>
      <c r="EC20" s="274">
        <v>0</v>
      </c>
      <c r="ED20" s="274">
        <v>0</v>
      </c>
      <c r="EE20" s="274">
        <v>0</v>
      </c>
      <c r="EF20" s="274">
        <v>0</v>
      </c>
      <c r="EG20" s="274">
        <v>0</v>
      </c>
      <c r="EH20" s="274">
        <v>0</v>
      </c>
      <c r="EI20" s="274">
        <v>0</v>
      </c>
      <c r="EJ20" s="274">
        <v>0</v>
      </c>
      <c r="EK20" s="274">
        <v>0</v>
      </c>
      <c r="EL20" s="274">
        <v>0</v>
      </c>
      <c r="EM20" s="283" t="s">
        <v>342</v>
      </c>
    </row>
    <row r="21" spans="2:143" ht="10.5" hidden="1">
      <c r="B21" s="30"/>
      <c r="C21" s="40" t="s">
        <v>160</v>
      </c>
      <c r="D21" s="40"/>
      <c r="E21" s="40"/>
      <c r="F21" s="40"/>
      <c r="G21" s="40"/>
      <c r="H21" s="40"/>
      <c r="I21" s="40"/>
      <c r="J21" s="40"/>
      <c r="K21" s="40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277">
        <v>0</v>
      </c>
      <c r="DW21" s="278">
        <v>0</v>
      </c>
      <c r="DX21" s="278">
        <v>0</v>
      </c>
      <c r="DY21" s="278">
        <v>1</v>
      </c>
      <c r="DZ21" s="278">
        <v>0</v>
      </c>
      <c r="EA21" s="278">
        <v>0</v>
      </c>
      <c r="EB21" s="278">
        <v>0</v>
      </c>
      <c r="EC21" s="278">
        <v>0</v>
      </c>
      <c r="ED21" s="278">
        <v>0</v>
      </c>
      <c r="EE21" s="278">
        <v>0</v>
      </c>
      <c r="EF21" s="278">
        <v>0</v>
      </c>
      <c r="EG21" s="278">
        <v>0</v>
      </c>
      <c r="EH21" s="278">
        <v>0</v>
      </c>
      <c r="EI21" s="278">
        <v>0</v>
      </c>
      <c r="EJ21" s="278">
        <v>0</v>
      </c>
      <c r="EK21" s="278">
        <v>0</v>
      </c>
      <c r="EL21" s="278">
        <v>0</v>
      </c>
      <c r="EM21" s="294" t="s">
        <v>342</v>
      </c>
    </row>
    <row r="22" spans="1:143" ht="10.5" hidden="1">
      <c r="A22" s="49" t="s">
        <v>388</v>
      </c>
      <c r="B22" s="40">
        <v>3</v>
      </c>
      <c r="C22" s="41" t="s">
        <v>145</v>
      </c>
      <c r="D22" s="41"/>
      <c r="E22" s="41"/>
      <c r="F22" s="41"/>
      <c r="G22" s="41"/>
      <c r="H22" s="41"/>
      <c r="I22" s="41"/>
      <c r="J22" s="41"/>
      <c r="K22" s="41"/>
      <c r="L22" s="4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271">
        <v>0</v>
      </c>
      <c r="DW22" s="272">
        <v>0</v>
      </c>
      <c r="DX22" s="272">
        <v>0</v>
      </c>
      <c r="DY22" s="272">
        <v>0</v>
      </c>
      <c r="DZ22" s="272">
        <v>1</v>
      </c>
      <c r="EA22" s="272">
        <v>0</v>
      </c>
      <c r="EB22" s="272">
        <v>0</v>
      </c>
      <c r="EC22" s="272">
        <v>0</v>
      </c>
      <c r="ED22" s="272">
        <v>0</v>
      </c>
      <c r="EE22" s="272">
        <v>0</v>
      </c>
      <c r="EF22" s="272">
        <v>0</v>
      </c>
      <c r="EG22" s="272">
        <v>0</v>
      </c>
      <c r="EH22" s="272">
        <v>0</v>
      </c>
      <c r="EI22" s="272">
        <v>0</v>
      </c>
      <c r="EJ22" s="272">
        <v>0</v>
      </c>
      <c r="EK22" s="272">
        <v>0</v>
      </c>
      <c r="EL22" s="272">
        <v>0</v>
      </c>
      <c r="EM22" s="286" t="s">
        <v>342</v>
      </c>
    </row>
    <row r="23" spans="2:143" ht="10.5" hidden="1">
      <c r="B23" s="30"/>
      <c r="C23" s="41" t="s">
        <v>147</v>
      </c>
      <c r="D23" s="41"/>
      <c r="E23" s="41"/>
      <c r="F23" s="41"/>
      <c r="G23" s="41"/>
      <c r="H23" s="41"/>
      <c r="I23" s="41"/>
      <c r="J23" s="41"/>
      <c r="K23" s="41"/>
      <c r="L23" s="4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273">
        <v>0</v>
      </c>
      <c r="DW23" s="274">
        <v>0</v>
      </c>
      <c r="DX23" s="274">
        <v>0</v>
      </c>
      <c r="DY23" s="274">
        <v>0</v>
      </c>
      <c r="DZ23" s="274">
        <v>0</v>
      </c>
      <c r="EA23" s="274">
        <v>0</v>
      </c>
      <c r="EB23" s="274">
        <v>0</v>
      </c>
      <c r="EC23" s="274">
        <v>0</v>
      </c>
      <c r="ED23" s="274">
        <v>0</v>
      </c>
      <c r="EE23" s="274">
        <v>0</v>
      </c>
      <c r="EF23" s="274">
        <v>0</v>
      </c>
      <c r="EG23" s="274">
        <v>0</v>
      </c>
      <c r="EH23" s="274">
        <v>0</v>
      </c>
      <c r="EI23" s="274">
        <v>0</v>
      </c>
      <c r="EJ23" s="274">
        <v>0</v>
      </c>
      <c r="EK23" s="274">
        <v>0</v>
      </c>
      <c r="EL23" s="274">
        <v>0</v>
      </c>
      <c r="EM23" s="283" t="s">
        <v>342</v>
      </c>
    </row>
    <row r="24" spans="2:143" ht="10.5" hidden="1">
      <c r="B24" s="30"/>
      <c r="C24" s="41" t="s">
        <v>149</v>
      </c>
      <c r="D24" s="41"/>
      <c r="E24" s="41"/>
      <c r="F24" s="41"/>
      <c r="G24" s="41"/>
      <c r="H24" s="41"/>
      <c r="I24" s="41"/>
      <c r="J24" s="41"/>
      <c r="K24" s="41"/>
      <c r="L24" s="4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273">
        <v>0</v>
      </c>
      <c r="DW24" s="274">
        <v>0</v>
      </c>
      <c r="DX24" s="274">
        <v>0</v>
      </c>
      <c r="DY24" s="274">
        <v>0</v>
      </c>
      <c r="DZ24" s="274">
        <v>0</v>
      </c>
      <c r="EA24" s="274">
        <v>0</v>
      </c>
      <c r="EB24" s="274">
        <v>0</v>
      </c>
      <c r="EC24" s="274">
        <v>0</v>
      </c>
      <c r="ED24" s="274">
        <v>0</v>
      </c>
      <c r="EE24" s="274">
        <v>0</v>
      </c>
      <c r="EF24" s="274">
        <v>0</v>
      </c>
      <c r="EG24" s="274">
        <v>0</v>
      </c>
      <c r="EH24" s="274">
        <v>0</v>
      </c>
      <c r="EI24" s="274">
        <v>0</v>
      </c>
      <c r="EJ24" s="274">
        <v>0</v>
      </c>
      <c r="EK24" s="274">
        <v>0</v>
      </c>
      <c r="EL24" s="274">
        <v>0</v>
      </c>
      <c r="EM24" s="283" t="s">
        <v>342</v>
      </c>
    </row>
    <row r="25" spans="2:143" ht="10.5" hidden="1">
      <c r="B25" s="30"/>
      <c r="C25" s="41" t="s">
        <v>151</v>
      </c>
      <c r="D25" s="41"/>
      <c r="E25" s="41"/>
      <c r="F25" s="41"/>
      <c r="G25" s="41"/>
      <c r="H25" s="41"/>
      <c r="I25" s="41"/>
      <c r="J25" s="41"/>
      <c r="K25" s="41"/>
      <c r="L25" s="4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273">
        <v>0</v>
      </c>
      <c r="DW25" s="274">
        <v>0</v>
      </c>
      <c r="DX25" s="274">
        <v>0</v>
      </c>
      <c r="DY25" s="274">
        <v>0</v>
      </c>
      <c r="DZ25" s="274">
        <v>0</v>
      </c>
      <c r="EA25" s="274">
        <v>0</v>
      </c>
      <c r="EB25" s="274">
        <v>0</v>
      </c>
      <c r="EC25" s="274">
        <v>0</v>
      </c>
      <c r="ED25" s="274">
        <v>0</v>
      </c>
      <c r="EE25" s="274">
        <v>0</v>
      </c>
      <c r="EF25" s="274">
        <v>0</v>
      </c>
      <c r="EG25" s="274">
        <v>0</v>
      </c>
      <c r="EH25" s="274">
        <v>0</v>
      </c>
      <c r="EI25" s="274">
        <v>0</v>
      </c>
      <c r="EJ25" s="274">
        <v>0</v>
      </c>
      <c r="EK25" s="274">
        <v>0</v>
      </c>
      <c r="EL25" s="274">
        <v>0</v>
      </c>
      <c r="EM25" s="283" t="s">
        <v>342</v>
      </c>
    </row>
    <row r="26" spans="2:143" ht="10.5" hidden="1">
      <c r="B26" s="30"/>
      <c r="C26" s="41" t="s">
        <v>153</v>
      </c>
      <c r="D26" s="41"/>
      <c r="E26" s="41"/>
      <c r="F26" s="41"/>
      <c r="G26" s="41"/>
      <c r="H26" s="41"/>
      <c r="I26" s="41"/>
      <c r="J26" s="41"/>
      <c r="K26" s="41"/>
      <c r="L26" s="4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273">
        <v>0</v>
      </c>
      <c r="DW26" s="274">
        <v>0</v>
      </c>
      <c r="DX26" s="274">
        <v>0</v>
      </c>
      <c r="DY26" s="274">
        <v>0</v>
      </c>
      <c r="DZ26" s="274">
        <v>0</v>
      </c>
      <c r="EA26" s="274">
        <v>0</v>
      </c>
      <c r="EB26" s="274">
        <v>0</v>
      </c>
      <c r="EC26" s="274">
        <v>0</v>
      </c>
      <c r="ED26" s="274">
        <v>0</v>
      </c>
      <c r="EE26" s="274">
        <v>0</v>
      </c>
      <c r="EF26" s="274">
        <v>0</v>
      </c>
      <c r="EG26" s="274">
        <v>0</v>
      </c>
      <c r="EH26" s="274">
        <v>0</v>
      </c>
      <c r="EI26" s="274">
        <v>0</v>
      </c>
      <c r="EJ26" s="274">
        <v>0</v>
      </c>
      <c r="EK26" s="274">
        <v>0</v>
      </c>
      <c r="EL26" s="274">
        <v>0</v>
      </c>
      <c r="EM26" s="283" t="s">
        <v>342</v>
      </c>
    </row>
    <row r="27" spans="2:143" ht="10.5" hidden="1">
      <c r="B27" s="30"/>
      <c r="C27" s="41" t="s">
        <v>155</v>
      </c>
      <c r="D27" s="41"/>
      <c r="E27" s="41"/>
      <c r="F27" s="41"/>
      <c r="G27" s="41"/>
      <c r="H27" s="41"/>
      <c r="I27" s="41"/>
      <c r="J27" s="41"/>
      <c r="K27" s="41"/>
      <c r="L27" s="4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273">
        <v>0</v>
      </c>
      <c r="DW27" s="274">
        <v>0</v>
      </c>
      <c r="DX27" s="274">
        <v>0</v>
      </c>
      <c r="DY27" s="274">
        <v>0</v>
      </c>
      <c r="DZ27" s="274">
        <v>0</v>
      </c>
      <c r="EA27" s="274">
        <v>0</v>
      </c>
      <c r="EB27" s="274">
        <v>0</v>
      </c>
      <c r="EC27" s="274">
        <v>0</v>
      </c>
      <c r="ED27" s="274">
        <v>0</v>
      </c>
      <c r="EE27" s="274">
        <v>0</v>
      </c>
      <c r="EF27" s="274">
        <v>0</v>
      </c>
      <c r="EG27" s="274">
        <v>0</v>
      </c>
      <c r="EH27" s="274">
        <v>0</v>
      </c>
      <c r="EI27" s="274">
        <v>0</v>
      </c>
      <c r="EJ27" s="274">
        <v>0</v>
      </c>
      <c r="EK27" s="274">
        <v>0</v>
      </c>
      <c r="EL27" s="274">
        <v>0</v>
      </c>
      <c r="EM27" s="283" t="s">
        <v>342</v>
      </c>
    </row>
    <row r="28" spans="2:143" ht="10.5" hidden="1">
      <c r="B28" s="30"/>
      <c r="C28" s="41" t="s">
        <v>157</v>
      </c>
      <c r="D28" s="41"/>
      <c r="E28" s="41"/>
      <c r="F28" s="41"/>
      <c r="G28" s="41"/>
      <c r="H28" s="41"/>
      <c r="I28" s="41"/>
      <c r="J28" s="41"/>
      <c r="K28" s="41"/>
      <c r="L28" s="4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273">
        <v>0</v>
      </c>
      <c r="DW28" s="274">
        <v>0</v>
      </c>
      <c r="DX28" s="274">
        <v>0</v>
      </c>
      <c r="DY28" s="274">
        <v>0</v>
      </c>
      <c r="DZ28" s="274">
        <v>0</v>
      </c>
      <c r="EA28" s="274">
        <v>0</v>
      </c>
      <c r="EB28" s="274">
        <v>0</v>
      </c>
      <c r="EC28" s="274">
        <v>0</v>
      </c>
      <c r="ED28" s="274">
        <v>0</v>
      </c>
      <c r="EE28" s="274">
        <v>0</v>
      </c>
      <c r="EF28" s="274">
        <v>0</v>
      </c>
      <c r="EG28" s="274">
        <v>0</v>
      </c>
      <c r="EH28" s="274">
        <v>0</v>
      </c>
      <c r="EI28" s="274">
        <v>0</v>
      </c>
      <c r="EJ28" s="274">
        <v>0</v>
      </c>
      <c r="EK28" s="274">
        <v>0</v>
      </c>
      <c r="EL28" s="274">
        <v>0</v>
      </c>
      <c r="EM28" s="283" t="s">
        <v>342</v>
      </c>
    </row>
    <row r="29" spans="2:143" ht="10.5" hidden="1">
      <c r="B29" s="30"/>
      <c r="C29" s="40" t="s">
        <v>160</v>
      </c>
      <c r="D29" s="40"/>
      <c r="E29" s="40"/>
      <c r="F29" s="40"/>
      <c r="G29" s="40"/>
      <c r="H29" s="40"/>
      <c r="I29" s="40"/>
      <c r="J29" s="40"/>
      <c r="K29" s="40"/>
      <c r="L29" s="42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277">
        <v>0</v>
      </c>
      <c r="DW29" s="278">
        <v>0</v>
      </c>
      <c r="DX29" s="278">
        <v>0</v>
      </c>
      <c r="DY29" s="278">
        <v>0</v>
      </c>
      <c r="DZ29" s="278">
        <v>1</v>
      </c>
      <c r="EA29" s="278">
        <v>0</v>
      </c>
      <c r="EB29" s="278">
        <v>0</v>
      </c>
      <c r="EC29" s="278">
        <v>0</v>
      </c>
      <c r="ED29" s="278">
        <v>0</v>
      </c>
      <c r="EE29" s="278">
        <v>0</v>
      </c>
      <c r="EF29" s="278">
        <v>0</v>
      </c>
      <c r="EG29" s="278">
        <v>0</v>
      </c>
      <c r="EH29" s="278">
        <v>0</v>
      </c>
      <c r="EI29" s="278">
        <v>0</v>
      </c>
      <c r="EJ29" s="278">
        <v>0</v>
      </c>
      <c r="EK29" s="278">
        <v>0</v>
      </c>
      <c r="EL29" s="278">
        <v>0</v>
      </c>
      <c r="EM29" s="294" t="s">
        <v>342</v>
      </c>
    </row>
    <row r="30" spans="1:143" ht="10.5" hidden="1">
      <c r="A30" s="49" t="s">
        <v>389</v>
      </c>
      <c r="B30" s="50">
        <v>4</v>
      </c>
      <c r="C30" s="41" t="s">
        <v>145</v>
      </c>
      <c r="D30" s="41"/>
      <c r="E30" s="41"/>
      <c r="F30" s="41"/>
      <c r="G30" s="41"/>
      <c r="H30" s="41"/>
      <c r="I30" s="41"/>
      <c r="J30" s="41"/>
      <c r="K30" s="41"/>
      <c r="L30" s="4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271">
        <v>0</v>
      </c>
      <c r="DW30" s="272">
        <v>0</v>
      </c>
      <c r="DX30" s="272">
        <v>0</v>
      </c>
      <c r="DY30" s="272">
        <v>0</v>
      </c>
      <c r="DZ30" s="272">
        <v>0</v>
      </c>
      <c r="EA30" s="272">
        <v>1</v>
      </c>
      <c r="EB30" s="272">
        <v>0</v>
      </c>
      <c r="EC30" s="272">
        <v>0</v>
      </c>
      <c r="ED30" s="272">
        <v>0</v>
      </c>
      <c r="EE30" s="272">
        <v>0</v>
      </c>
      <c r="EF30" s="272">
        <v>0</v>
      </c>
      <c r="EG30" s="272">
        <v>0</v>
      </c>
      <c r="EH30" s="272">
        <v>0</v>
      </c>
      <c r="EI30" s="272">
        <v>0</v>
      </c>
      <c r="EJ30" s="272">
        <v>0</v>
      </c>
      <c r="EK30" s="272">
        <v>0</v>
      </c>
      <c r="EL30" s="272">
        <v>0</v>
      </c>
      <c r="EM30" s="286" t="s">
        <v>342</v>
      </c>
    </row>
    <row r="31" spans="2:143" ht="10.5" hidden="1">
      <c r="B31" s="30"/>
      <c r="C31" s="41" t="s">
        <v>147</v>
      </c>
      <c r="D31" s="41"/>
      <c r="E31" s="41"/>
      <c r="F31" s="41"/>
      <c r="G31" s="41"/>
      <c r="H31" s="41"/>
      <c r="I31" s="41"/>
      <c r="J31" s="41"/>
      <c r="K31" s="41"/>
      <c r="L31" s="4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273">
        <v>0</v>
      </c>
      <c r="DW31" s="274">
        <v>0</v>
      </c>
      <c r="DX31" s="274">
        <v>0</v>
      </c>
      <c r="DY31" s="274">
        <v>0</v>
      </c>
      <c r="DZ31" s="274">
        <v>0</v>
      </c>
      <c r="EA31" s="274">
        <v>0</v>
      </c>
      <c r="EB31" s="274">
        <v>0</v>
      </c>
      <c r="EC31" s="274">
        <v>0</v>
      </c>
      <c r="ED31" s="274">
        <v>0</v>
      </c>
      <c r="EE31" s="274">
        <v>0</v>
      </c>
      <c r="EF31" s="274">
        <v>0</v>
      </c>
      <c r="EG31" s="274">
        <v>0</v>
      </c>
      <c r="EH31" s="274">
        <v>0</v>
      </c>
      <c r="EI31" s="274">
        <v>0</v>
      </c>
      <c r="EJ31" s="274">
        <v>0</v>
      </c>
      <c r="EK31" s="274">
        <v>0</v>
      </c>
      <c r="EL31" s="274">
        <v>0</v>
      </c>
      <c r="EM31" s="283" t="s">
        <v>342</v>
      </c>
    </row>
    <row r="32" spans="2:143" ht="10.5" hidden="1">
      <c r="B32" s="30"/>
      <c r="C32" s="41" t="s">
        <v>149</v>
      </c>
      <c r="D32" s="41"/>
      <c r="E32" s="41"/>
      <c r="F32" s="41"/>
      <c r="G32" s="41"/>
      <c r="H32" s="41"/>
      <c r="I32" s="41"/>
      <c r="J32" s="41"/>
      <c r="K32" s="41"/>
      <c r="L32" s="43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273">
        <v>0</v>
      </c>
      <c r="DW32" s="274">
        <v>0</v>
      </c>
      <c r="DX32" s="274">
        <v>0</v>
      </c>
      <c r="DY32" s="274">
        <v>0</v>
      </c>
      <c r="DZ32" s="274">
        <v>0</v>
      </c>
      <c r="EA32" s="274">
        <v>0</v>
      </c>
      <c r="EB32" s="274">
        <v>0</v>
      </c>
      <c r="EC32" s="274">
        <v>0</v>
      </c>
      <c r="ED32" s="274">
        <v>0</v>
      </c>
      <c r="EE32" s="274">
        <v>0</v>
      </c>
      <c r="EF32" s="274">
        <v>0</v>
      </c>
      <c r="EG32" s="274">
        <v>0</v>
      </c>
      <c r="EH32" s="274">
        <v>0</v>
      </c>
      <c r="EI32" s="274">
        <v>0</v>
      </c>
      <c r="EJ32" s="274">
        <v>0</v>
      </c>
      <c r="EK32" s="274">
        <v>0</v>
      </c>
      <c r="EL32" s="274">
        <v>0</v>
      </c>
      <c r="EM32" s="283" t="s">
        <v>342</v>
      </c>
    </row>
    <row r="33" spans="2:143" ht="10.5" hidden="1">
      <c r="B33" s="30"/>
      <c r="C33" s="41" t="s">
        <v>151</v>
      </c>
      <c r="D33" s="41"/>
      <c r="E33" s="41"/>
      <c r="F33" s="41"/>
      <c r="G33" s="41"/>
      <c r="H33" s="41"/>
      <c r="I33" s="41"/>
      <c r="J33" s="41"/>
      <c r="K33" s="41"/>
      <c r="L33" s="4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273">
        <v>0</v>
      </c>
      <c r="DW33" s="274">
        <v>0</v>
      </c>
      <c r="DX33" s="274">
        <v>0</v>
      </c>
      <c r="DY33" s="274">
        <v>0</v>
      </c>
      <c r="DZ33" s="274">
        <v>0</v>
      </c>
      <c r="EA33" s="274">
        <v>0</v>
      </c>
      <c r="EB33" s="274">
        <v>0</v>
      </c>
      <c r="EC33" s="274">
        <v>0</v>
      </c>
      <c r="ED33" s="274">
        <v>0</v>
      </c>
      <c r="EE33" s="274">
        <v>0</v>
      </c>
      <c r="EF33" s="274">
        <v>0</v>
      </c>
      <c r="EG33" s="274">
        <v>0</v>
      </c>
      <c r="EH33" s="274">
        <v>0</v>
      </c>
      <c r="EI33" s="274">
        <v>0</v>
      </c>
      <c r="EJ33" s="274">
        <v>0</v>
      </c>
      <c r="EK33" s="274">
        <v>0</v>
      </c>
      <c r="EL33" s="274">
        <v>0</v>
      </c>
      <c r="EM33" s="283" t="s">
        <v>342</v>
      </c>
    </row>
    <row r="34" spans="2:143" ht="10.5" hidden="1">
      <c r="B34" s="30"/>
      <c r="C34" s="41" t="s">
        <v>153</v>
      </c>
      <c r="D34" s="41"/>
      <c r="E34" s="41"/>
      <c r="F34" s="41"/>
      <c r="G34" s="41"/>
      <c r="H34" s="41"/>
      <c r="I34" s="41"/>
      <c r="J34" s="41"/>
      <c r="K34" s="41"/>
      <c r="L34" s="4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273">
        <v>0</v>
      </c>
      <c r="DW34" s="274">
        <v>0</v>
      </c>
      <c r="DX34" s="274">
        <v>0</v>
      </c>
      <c r="DY34" s="274">
        <v>0</v>
      </c>
      <c r="DZ34" s="274">
        <v>0</v>
      </c>
      <c r="EA34" s="274">
        <v>0</v>
      </c>
      <c r="EB34" s="274">
        <v>0</v>
      </c>
      <c r="EC34" s="274">
        <v>0</v>
      </c>
      <c r="ED34" s="274">
        <v>0</v>
      </c>
      <c r="EE34" s="274">
        <v>0</v>
      </c>
      <c r="EF34" s="274">
        <v>0</v>
      </c>
      <c r="EG34" s="274">
        <v>0</v>
      </c>
      <c r="EH34" s="274">
        <v>0</v>
      </c>
      <c r="EI34" s="274">
        <v>0</v>
      </c>
      <c r="EJ34" s="274">
        <v>0</v>
      </c>
      <c r="EK34" s="274">
        <v>0</v>
      </c>
      <c r="EL34" s="274">
        <v>0</v>
      </c>
      <c r="EM34" s="283" t="s">
        <v>342</v>
      </c>
    </row>
    <row r="35" spans="2:143" ht="10.5" hidden="1">
      <c r="B35" s="30"/>
      <c r="C35" s="41" t="s">
        <v>155</v>
      </c>
      <c r="D35" s="41"/>
      <c r="E35" s="41"/>
      <c r="F35" s="41"/>
      <c r="G35" s="41"/>
      <c r="H35" s="41"/>
      <c r="I35" s="41"/>
      <c r="J35" s="41"/>
      <c r="K35" s="41"/>
      <c r="L35" s="43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273">
        <v>0</v>
      </c>
      <c r="DW35" s="274">
        <v>0</v>
      </c>
      <c r="DX35" s="274">
        <v>0</v>
      </c>
      <c r="DY35" s="274">
        <v>0</v>
      </c>
      <c r="DZ35" s="274">
        <v>0</v>
      </c>
      <c r="EA35" s="274">
        <v>0</v>
      </c>
      <c r="EB35" s="274">
        <v>0</v>
      </c>
      <c r="EC35" s="274">
        <v>0</v>
      </c>
      <c r="ED35" s="274">
        <v>0</v>
      </c>
      <c r="EE35" s="274">
        <v>0</v>
      </c>
      <c r="EF35" s="274">
        <v>0</v>
      </c>
      <c r="EG35" s="274">
        <v>0</v>
      </c>
      <c r="EH35" s="274">
        <v>0</v>
      </c>
      <c r="EI35" s="274">
        <v>0</v>
      </c>
      <c r="EJ35" s="274">
        <v>0</v>
      </c>
      <c r="EK35" s="274">
        <v>0</v>
      </c>
      <c r="EL35" s="274">
        <v>0</v>
      </c>
      <c r="EM35" s="283" t="s">
        <v>342</v>
      </c>
    </row>
    <row r="36" spans="2:143" ht="10.5" hidden="1">
      <c r="B36" s="30"/>
      <c r="C36" s="41" t="s">
        <v>157</v>
      </c>
      <c r="D36" s="41"/>
      <c r="E36" s="41"/>
      <c r="F36" s="41"/>
      <c r="G36" s="41"/>
      <c r="H36" s="41"/>
      <c r="I36" s="41"/>
      <c r="J36" s="41"/>
      <c r="K36" s="41"/>
      <c r="L36" s="43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273">
        <v>0</v>
      </c>
      <c r="DW36" s="274">
        <v>0</v>
      </c>
      <c r="DX36" s="274">
        <v>0</v>
      </c>
      <c r="DY36" s="274">
        <v>0</v>
      </c>
      <c r="DZ36" s="274">
        <v>0</v>
      </c>
      <c r="EA36" s="274">
        <v>0</v>
      </c>
      <c r="EB36" s="274">
        <v>0</v>
      </c>
      <c r="EC36" s="274">
        <v>0</v>
      </c>
      <c r="ED36" s="274">
        <v>0</v>
      </c>
      <c r="EE36" s="274">
        <v>0</v>
      </c>
      <c r="EF36" s="274">
        <v>0</v>
      </c>
      <c r="EG36" s="274">
        <v>0</v>
      </c>
      <c r="EH36" s="274">
        <v>0</v>
      </c>
      <c r="EI36" s="274">
        <v>0</v>
      </c>
      <c r="EJ36" s="274">
        <v>0</v>
      </c>
      <c r="EK36" s="274">
        <v>0</v>
      </c>
      <c r="EL36" s="274">
        <v>0</v>
      </c>
      <c r="EM36" s="283" t="s">
        <v>342</v>
      </c>
    </row>
    <row r="37" spans="1:143" ht="10.5" hidden="1">
      <c r="A37" s="49"/>
      <c r="B37" s="30"/>
      <c r="C37" s="40" t="s">
        <v>160</v>
      </c>
      <c r="D37" s="40"/>
      <c r="E37" s="40"/>
      <c r="F37" s="40"/>
      <c r="G37" s="40"/>
      <c r="H37" s="40"/>
      <c r="I37" s="40"/>
      <c r="J37" s="40"/>
      <c r="K37" s="40"/>
      <c r="L37" s="4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277">
        <v>0</v>
      </c>
      <c r="DW37" s="278">
        <v>0</v>
      </c>
      <c r="DX37" s="278">
        <v>0</v>
      </c>
      <c r="DY37" s="278">
        <v>0</v>
      </c>
      <c r="DZ37" s="278">
        <v>0</v>
      </c>
      <c r="EA37" s="278">
        <v>1</v>
      </c>
      <c r="EB37" s="278">
        <v>0</v>
      </c>
      <c r="EC37" s="278">
        <v>0</v>
      </c>
      <c r="ED37" s="278">
        <v>0</v>
      </c>
      <c r="EE37" s="278">
        <v>0</v>
      </c>
      <c r="EF37" s="278">
        <v>0</v>
      </c>
      <c r="EG37" s="278">
        <v>0</v>
      </c>
      <c r="EH37" s="278">
        <v>0</v>
      </c>
      <c r="EI37" s="278">
        <v>0</v>
      </c>
      <c r="EJ37" s="278">
        <v>0</v>
      </c>
      <c r="EK37" s="278">
        <v>0</v>
      </c>
      <c r="EL37" s="278">
        <v>0</v>
      </c>
      <c r="EM37" s="294" t="s">
        <v>342</v>
      </c>
    </row>
    <row r="38" spans="1:143" ht="10.5" hidden="1">
      <c r="A38" s="49" t="s">
        <v>390</v>
      </c>
      <c r="B38" s="40">
        <v>5</v>
      </c>
      <c r="C38" s="41" t="s">
        <v>145</v>
      </c>
      <c r="D38" s="41"/>
      <c r="E38" s="41"/>
      <c r="F38" s="41"/>
      <c r="G38" s="41"/>
      <c r="H38" s="41"/>
      <c r="I38" s="41"/>
      <c r="J38" s="41"/>
      <c r="K38" s="41"/>
      <c r="L38" s="4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271">
        <v>0</v>
      </c>
      <c r="DW38" s="272">
        <v>0</v>
      </c>
      <c r="DX38" s="272">
        <v>0</v>
      </c>
      <c r="DY38" s="272">
        <v>0</v>
      </c>
      <c r="DZ38" s="272">
        <v>0</v>
      </c>
      <c r="EA38" s="272">
        <v>0</v>
      </c>
      <c r="EB38" s="272">
        <v>1</v>
      </c>
      <c r="EC38" s="272">
        <v>0</v>
      </c>
      <c r="ED38" s="272">
        <v>0</v>
      </c>
      <c r="EE38" s="272">
        <v>0</v>
      </c>
      <c r="EF38" s="272">
        <v>0</v>
      </c>
      <c r="EG38" s="272">
        <v>0</v>
      </c>
      <c r="EH38" s="272">
        <v>0</v>
      </c>
      <c r="EI38" s="272">
        <v>0</v>
      </c>
      <c r="EJ38" s="272">
        <v>0</v>
      </c>
      <c r="EK38" s="272">
        <v>0</v>
      </c>
      <c r="EL38" s="272">
        <v>0</v>
      </c>
      <c r="EM38" s="286" t="s">
        <v>342</v>
      </c>
    </row>
    <row r="39" spans="2:143" ht="10.5" hidden="1">
      <c r="B39" s="30"/>
      <c r="C39" s="41" t="s">
        <v>147</v>
      </c>
      <c r="D39" s="41"/>
      <c r="E39" s="41"/>
      <c r="F39" s="41"/>
      <c r="G39" s="41"/>
      <c r="H39" s="41"/>
      <c r="I39" s="41"/>
      <c r="J39" s="41"/>
      <c r="K39" s="41"/>
      <c r="L39" s="4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273">
        <v>0</v>
      </c>
      <c r="DW39" s="274">
        <v>0</v>
      </c>
      <c r="DX39" s="274">
        <v>0</v>
      </c>
      <c r="DY39" s="274">
        <v>0</v>
      </c>
      <c r="DZ39" s="274">
        <v>0</v>
      </c>
      <c r="EA39" s="274">
        <v>0</v>
      </c>
      <c r="EB39" s="274">
        <v>0</v>
      </c>
      <c r="EC39" s="274">
        <v>0</v>
      </c>
      <c r="ED39" s="274">
        <v>0</v>
      </c>
      <c r="EE39" s="274">
        <v>0</v>
      </c>
      <c r="EF39" s="274">
        <v>0</v>
      </c>
      <c r="EG39" s="274">
        <v>0</v>
      </c>
      <c r="EH39" s="274">
        <v>0</v>
      </c>
      <c r="EI39" s="274">
        <v>0</v>
      </c>
      <c r="EJ39" s="274">
        <v>0</v>
      </c>
      <c r="EK39" s="274">
        <v>0</v>
      </c>
      <c r="EL39" s="274">
        <v>0</v>
      </c>
      <c r="EM39" s="283" t="s">
        <v>342</v>
      </c>
    </row>
    <row r="40" spans="2:143" ht="10.5" hidden="1">
      <c r="B40" s="30"/>
      <c r="C40" s="41" t="s">
        <v>149</v>
      </c>
      <c r="D40" s="41"/>
      <c r="E40" s="41"/>
      <c r="F40" s="41"/>
      <c r="G40" s="41"/>
      <c r="H40" s="41"/>
      <c r="I40" s="41"/>
      <c r="J40" s="41"/>
      <c r="K40" s="41"/>
      <c r="L40" s="4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273">
        <v>0</v>
      </c>
      <c r="DW40" s="274">
        <v>0</v>
      </c>
      <c r="DX40" s="274">
        <v>0</v>
      </c>
      <c r="DY40" s="274">
        <v>0</v>
      </c>
      <c r="DZ40" s="274">
        <v>0</v>
      </c>
      <c r="EA40" s="274">
        <v>0</v>
      </c>
      <c r="EB40" s="274">
        <v>0</v>
      </c>
      <c r="EC40" s="274">
        <v>0</v>
      </c>
      <c r="ED40" s="274">
        <v>0</v>
      </c>
      <c r="EE40" s="274">
        <v>0</v>
      </c>
      <c r="EF40" s="274">
        <v>0</v>
      </c>
      <c r="EG40" s="274">
        <v>0</v>
      </c>
      <c r="EH40" s="274">
        <v>0</v>
      </c>
      <c r="EI40" s="274">
        <v>0</v>
      </c>
      <c r="EJ40" s="274">
        <v>0</v>
      </c>
      <c r="EK40" s="274">
        <v>0</v>
      </c>
      <c r="EL40" s="274">
        <v>0</v>
      </c>
      <c r="EM40" s="283" t="s">
        <v>342</v>
      </c>
    </row>
    <row r="41" spans="2:143" ht="10.5" hidden="1">
      <c r="B41" s="30"/>
      <c r="C41" s="41" t="s">
        <v>151</v>
      </c>
      <c r="D41" s="41"/>
      <c r="E41" s="41"/>
      <c r="F41" s="41"/>
      <c r="G41" s="41"/>
      <c r="H41" s="41"/>
      <c r="I41" s="41"/>
      <c r="J41" s="41"/>
      <c r="K41" s="41"/>
      <c r="L41" s="4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273">
        <v>0</v>
      </c>
      <c r="DW41" s="274">
        <v>0</v>
      </c>
      <c r="DX41" s="274">
        <v>0</v>
      </c>
      <c r="DY41" s="274">
        <v>0</v>
      </c>
      <c r="DZ41" s="274">
        <v>0</v>
      </c>
      <c r="EA41" s="274">
        <v>0</v>
      </c>
      <c r="EB41" s="274">
        <v>0</v>
      </c>
      <c r="EC41" s="274">
        <v>0</v>
      </c>
      <c r="ED41" s="274">
        <v>0</v>
      </c>
      <c r="EE41" s="274">
        <v>0</v>
      </c>
      <c r="EF41" s="274">
        <v>0</v>
      </c>
      <c r="EG41" s="274">
        <v>0</v>
      </c>
      <c r="EH41" s="274">
        <v>0</v>
      </c>
      <c r="EI41" s="274">
        <v>0</v>
      </c>
      <c r="EJ41" s="274">
        <v>0</v>
      </c>
      <c r="EK41" s="274">
        <v>0</v>
      </c>
      <c r="EL41" s="274">
        <v>0</v>
      </c>
      <c r="EM41" s="283" t="s">
        <v>342</v>
      </c>
    </row>
    <row r="42" spans="2:143" ht="10.5" hidden="1">
      <c r="B42" s="30"/>
      <c r="C42" s="41" t="s">
        <v>153</v>
      </c>
      <c r="D42" s="41"/>
      <c r="E42" s="41"/>
      <c r="F42" s="41"/>
      <c r="G42" s="41"/>
      <c r="H42" s="41"/>
      <c r="I42" s="41"/>
      <c r="J42" s="41"/>
      <c r="K42" s="41"/>
      <c r="L42" s="4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273">
        <v>0</v>
      </c>
      <c r="DW42" s="274">
        <v>0</v>
      </c>
      <c r="DX42" s="274">
        <v>0</v>
      </c>
      <c r="DY42" s="274">
        <v>0</v>
      </c>
      <c r="DZ42" s="274">
        <v>0</v>
      </c>
      <c r="EA42" s="274">
        <v>0</v>
      </c>
      <c r="EB42" s="274">
        <v>0</v>
      </c>
      <c r="EC42" s="274">
        <v>0</v>
      </c>
      <c r="ED42" s="274">
        <v>0</v>
      </c>
      <c r="EE42" s="274">
        <v>0</v>
      </c>
      <c r="EF42" s="274">
        <v>0</v>
      </c>
      <c r="EG42" s="274">
        <v>0</v>
      </c>
      <c r="EH42" s="274">
        <v>0</v>
      </c>
      <c r="EI42" s="274">
        <v>0</v>
      </c>
      <c r="EJ42" s="274">
        <v>0</v>
      </c>
      <c r="EK42" s="274">
        <v>0</v>
      </c>
      <c r="EL42" s="274">
        <v>0</v>
      </c>
      <c r="EM42" s="283" t="s">
        <v>342</v>
      </c>
    </row>
    <row r="43" spans="2:143" ht="10.5" hidden="1">
      <c r="B43" s="30"/>
      <c r="C43" s="41" t="s">
        <v>155</v>
      </c>
      <c r="D43" s="41"/>
      <c r="E43" s="41"/>
      <c r="F43" s="41"/>
      <c r="G43" s="41"/>
      <c r="H43" s="41"/>
      <c r="I43" s="41"/>
      <c r="J43" s="41"/>
      <c r="K43" s="41"/>
      <c r="L43" s="4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273">
        <v>0</v>
      </c>
      <c r="DW43" s="274">
        <v>0</v>
      </c>
      <c r="DX43" s="274">
        <v>0</v>
      </c>
      <c r="DY43" s="274">
        <v>0</v>
      </c>
      <c r="DZ43" s="274">
        <v>0</v>
      </c>
      <c r="EA43" s="274">
        <v>0</v>
      </c>
      <c r="EB43" s="274">
        <v>0</v>
      </c>
      <c r="EC43" s="274">
        <v>0</v>
      </c>
      <c r="ED43" s="274">
        <v>0</v>
      </c>
      <c r="EE43" s="274">
        <v>0</v>
      </c>
      <c r="EF43" s="274">
        <v>0</v>
      </c>
      <c r="EG43" s="274">
        <v>0</v>
      </c>
      <c r="EH43" s="274">
        <v>0</v>
      </c>
      <c r="EI43" s="274">
        <v>0</v>
      </c>
      <c r="EJ43" s="274">
        <v>0</v>
      </c>
      <c r="EK43" s="274">
        <v>0</v>
      </c>
      <c r="EL43" s="274">
        <v>0</v>
      </c>
      <c r="EM43" s="283" t="s">
        <v>342</v>
      </c>
    </row>
    <row r="44" spans="2:143" ht="10.5" hidden="1">
      <c r="B44" s="30"/>
      <c r="C44" s="41" t="s">
        <v>157</v>
      </c>
      <c r="D44" s="41"/>
      <c r="E44" s="41"/>
      <c r="F44" s="41"/>
      <c r="G44" s="41"/>
      <c r="H44" s="41"/>
      <c r="I44" s="41"/>
      <c r="J44" s="41"/>
      <c r="K44" s="41"/>
      <c r="L44" s="43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273">
        <v>0</v>
      </c>
      <c r="DW44" s="274">
        <v>0</v>
      </c>
      <c r="DX44" s="274">
        <v>0</v>
      </c>
      <c r="DY44" s="274">
        <v>0</v>
      </c>
      <c r="DZ44" s="274">
        <v>0</v>
      </c>
      <c r="EA44" s="274">
        <v>0</v>
      </c>
      <c r="EB44" s="274">
        <v>0</v>
      </c>
      <c r="EC44" s="274">
        <v>0</v>
      </c>
      <c r="ED44" s="274">
        <v>0</v>
      </c>
      <c r="EE44" s="274">
        <v>0</v>
      </c>
      <c r="EF44" s="274">
        <v>0</v>
      </c>
      <c r="EG44" s="274">
        <v>0</v>
      </c>
      <c r="EH44" s="274">
        <v>0</v>
      </c>
      <c r="EI44" s="274">
        <v>0</v>
      </c>
      <c r="EJ44" s="274">
        <v>0</v>
      </c>
      <c r="EK44" s="274">
        <v>0</v>
      </c>
      <c r="EL44" s="274">
        <v>0</v>
      </c>
      <c r="EM44" s="283" t="s">
        <v>342</v>
      </c>
    </row>
    <row r="45" spans="2:143" ht="10.5" hidden="1">
      <c r="B45" s="30"/>
      <c r="C45" s="40" t="s">
        <v>160</v>
      </c>
      <c r="D45" s="40"/>
      <c r="E45" s="40"/>
      <c r="F45" s="40"/>
      <c r="G45" s="40"/>
      <c r="H45" s="40"/>
      <c r="I45" s="40"/>
      <c r="J45" s="40"/>
      <c r="K45" s="40"/>
      <c r="L45" s="42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277">
        <v>0</v>
      </c>
      <c r="DW45" s="278">
        <v>0</v>
      </c>
      <c r="DX45" s="278">
        <v>0</v>
      </c>
      <c r="DY45" s="278">
        <v>0</v>
      </c>
      <c r="DZ45" s="278">
        <v>0</v>
      </c>
      <c r="EA45" s="278">
        <v>0</v>
      </c>
      <c r="EB45" s="278">
        <v>1</v>
      </c>
      <c r="EC45" s="278">
        <v>0</v>
      </c>
      <c r="ED45" s="278">
        <v>0</v>
      </c>
      <c r="EE45" s="278">
        <v>0</v>
      </c>
      <c r="EF45" s="278">
        <v>0</v>
      </c>
      <c r="EG45" s="278">
        <v>0</v>
      </c>
      <c r="EH45" s="278">
        <v>0</v>
      </c>
      <c r="EI45" s="278">
        <v>0</v>
      </c>
      <c r="EJ45" s="278">
        <v>0</v>
      </c>
      <c r="EK45" s="278">
        <v>0</v>
      </c>
      <c r="EL45" s="278">
        <v>0</v>
      </c>
      <c r="EM45" s="294" t="s">
        <v>342</v>
      </c>
    </row>
    <row r="46" spans="1:143" ht="10.5" hidden="1">
      <c r="A46" s="49" t="s">
        <v>391</v>
      </c>
      <c r="B46" s="40">
        <v>6</v>
      </c>
      <c r="C46" s="41" t="s">
        <v>145</v>
      </c>
      <c r="D46" s="41"/>
      <c r="E46" s="41"/>
      <c r="F46" s="41"/>
      <c r="G46" s="41"/>
      <c r="H46" s="41"/>
      <c r="I46" s="41"/>
      <c r="J46" s="41"/>
      <c r="K46" s="41"/>
      <c r="L46" s="43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271">
        <v>0</v>
      </c>
      <c r="DW46" s="272">
        <v>0</v>
      </c>
      <c r="DX46" s="272">
        <v>0</v>
      </c>
      <c r="DY46" s="272">
        <v>0</v>
      </c>
      <c r="DZ46" s="272">
        <v>0</v>
      </c>
      <c r="EA46" s="272">
        <v>0</v>
      </c>
      <c r="EB46" s="272">
        <v>0</v>
      </c>
      <c r="EC46" s="272">
        <v>1</v>
      </c>
      <c r="ED46" s="272">
        <v>0</v>
      </c>
      <c r="EE46" s="272">
        <v>0</v>
      </c>
      <c r="EF46" s="272">
        <v>0</v>
      </c>
      <c r="EG46" s="272">
        <v>0</v>
      </c>
      <c r="EH46" s="272">
        <v>0</v>
      </c>
      <c r="EI46" s="272">
        <v>0</v>
      </c>
      <c r="EJ46" s="272">
        <v>0</v>
      </c>
      <c r="EK46" s="272">
        <v>0</v>
      </c>
      <c r="EL46" s="272">
        <v>0</v>
      </c>
      <c r="EM46" s="286" t="s">
        <v>342</v>
      </c>
    </row>
    <row r="47" spans="2:143" ht="10.5" hidden="1">
      <c r="B47" s="30"/>
      <c r="C47" s="41" t="s">
        <v>147</v>
      </c>
      <c r="D47" s="41"/>
      <c r="E47" s="41"/>
      <c r="F47" s="41"/>
      <c r="G47" s="41"/>
      <c r="H47" s="41"/>
      <c r="I47" s="41"/>
      <c r="J47" s="41"/>
      <c r="K47" s="41"/>
      <c r="L47" s="43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273">
        <v>0</v>
      </c>
      <c r="DW47" s="274">
        <v>0</v>
      </c>
      <c r="DX47" s="274">
        <v>0</v>
      </c>
      <c r="DY47" s="274">
        <v>0</v>
      </c>
      <c r="DZ47" s="274">
        <v>0</v>
      </c>
      <c r="EA47" s="274">
        <v>0</v>
      </c>
      <c r="EB47" s="274">
        <v>0</v>
      </c>
      <c r="EC47" s="274">
        <v>0</v>
      </c>
      <c r="ED47" s="274">
        <v>0</v>
      </c>
      <c r="EE47" s="274">
        <v>0</v>
      </c>
      <c r="EF47" s="274">
        <v>0</v>
      </c>
      <c r="EG47" s="274">
        <v>0</v>
      </c>
      <c r="EH47" s="274">
        <v>0</v>
      </c>
      <c r="EI47" s="274">
        <v>0</v>
      </c>
      <c r="EJ47" s="274">
        <v>0</v>
      </c>
      <c r="EK47" s="274">
        <v>0</v>
      </c>
      <c r="EL47" s="274">
        <v>0</v>
      </c>
      <c r="EM47" s="283" t="s">
        <v>342</v>
      </c>
    </row>
    <row r="48" spans="2:143" ht="10.5" hidden="1">
      <c r="B48" s="30"/>
      <c r="C48" s="41" t="s">
        <v>149</v>
      </c>
      <c r="D48" s="41"/>
      <c r="E48" s="41"/>
      <c r="F48" s="41"/>
      <c r="G48" s="41"/>
      <c r="H48" s="41"/>
      <c r="I48" s="41"/>
      <c r="J48" s="41"/>
      <c r="K48" s="41"/>
      <c r="L48" s="43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273">
        <v>0</v>
      </c>
      <c r="DW48" s="274">
        <v>0</v>
      </c>
      <c r="DX48" s="274">
        <v>0</v>
      </c>
      <c r="DY48" s="274">
        <v>0</v>
      </c>
      <c r="DZ48" s="274">
        <v>0</v>
      </c>
      <c r="EA48" s="274">
        <v>0</v>
      </c>
      <c r="EB48" s="274">
        <v>0</v>
      </c>
      <c r="EC48" s="274">
        <v>0</v>
      </c>
      <c r="ED48" s="274">
        <v>0</v>
      </c>
      <c r="EE48" s="274">
        <v>0</v>
      </c>
      <c r="EF48" s="274">
        <v>0</v>
      </c>
      <c r="EG48" s="274">
        <v>0</v>
      </c>
      <c r="EH48" s="274">
        <v>0</v>
      </c>
      <c r="EI48" s="274">
        <v>0</v>
      </c>
      <c r="EJ48" s="274">
        <v>0</v>
      </c>
      <c r="EK48" s="274">
        <v>0</v>
      </c>
      <c r="EL48" s="274">
        <v>0</v>
      </c>
      <c r="EM48" s="283" t="s">
        <v>342</v>
      </c>
    </row>
    <row r="49" spans="2:143" ht="10.5" hidden="1">
      <c r="B49" s="30"/>
      <c r="C49" s="41" t="s">
        <v>151</v>
      </c>
      <c r="D49" s="41"/>
      <c r="E49" s="41"/>
      <c r="F49" s="41"/>
      <c r="G49" s="41"/>
      <c r="H49" s="41"/>
      <c r="I49" s="41"/>
      <c r="J49" s="41"/>
      <c r="K49" s="41"/>
      <c r="L49" s="4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273">
        <v>0</v>
      </c>
      <c r="DW49" s="274">
        <v>0</v>
      </c>
      <c r="DX49" s="274">
        <v>0</v>
      </c>
      <c r="DY49" s="274">
        <v>0</v>
      </c>
      <c r="DZ49" s="274">
        <v>0</v>
      </c>
      <c r="EA49" s="274">
        <v>0</v>
      </c>
      <c r="EB49" s="274">
        <v>0</v>
      </c>
      <c r="EC49" s="274">
        <v>0</v>
      </c>
      <c r="ED49" s="274">
        <v>0</v>
      </c>
      <c r="EE49" s="274">
        <v>0</v>
      </c>
      <c r="EF49" s="274">
        <v>0</v>
      </c>
      <c r="EG49" s="274">
        <v>0</v>
      </c>
      <c r="EH49" s="274">
        <v>0</v>
      </c>
      <c r="EI49" s="274">
        <v>0</v>
      </c>
      <c r="EJ49" s="274">
        <v>0</v>
      </c>
      <c r="EK49" s="274">
        <v>0</v>
      </c>
      <c r="EL49" s="274">
        <v>0</v>
      </c>
      <c r="EM49" s="283" t="s">
        <v>342</v>
      </c>
    </row>
    <row r="50" spans="2:143" ht="10.5" hidden="1">
      <c r="B50" s="30"/>
      <c r="C50" s="41" t="s">
        <v>153</v>
      </c>
      <c r="D50" s="41"/>
      <c r="E50" s="41"/>
      <c r="F50" s="41"/>
      <c r="G50" s="41"/>
      <c r="H50" s="41"/>
      <c r="I50" s="41"/>
      <c r="J50" s="41"/>
      <c r="K50" s="41"/>
      <c r="L50" s="4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273">
        <v>0</v>
      </c>
      <c r="DW50" s="274">
        <v>0</v>
      </c>
      <c r="DX50" s="274">
        <v>0</v>
      </c>
      <c r="DY50" s="274">
        <v>0</v>
      </c>
      <c r="DZ50" s="274">
        <v>0</v>
      </c>
      <c r="EA50" s="274">
        <v>0</v>
      </c>
      <c r="EB50" s="274">
        <v>0</v>
      </c>
      <c r="EC50" s="274">
        <v>0</v>
      </c>
      <c r="ED50" s="274">
        <v>0</v>
      </c>
      <c r="EE50" s="274">
        <v>0</v>
      </c>
      <c r="EF50" s="274">
        <v>0</v>
      </c>
      <c r="EG50" s="274">
        <v>0</v>
      </c>
      <c r="EH50" s="274">
        <v>0</v>
      </c>
      <c r="EI50" s="274">
        <v>0</v>
      </c>
      <c r="EJ50" s="274">
        <v>0</v>
      </c>
      <c r="EK50" s="274">
        <v>0</v>
      </c>
      <c r="EL50" s="274">
        <v>0</v>
      </c>
      <c r="EM50" s="283" t="s">
        <v>342</v>
      </c>
    </row>
    <row r="51" spans="2:143" ht="10.5" hidden="1">
      <c r="B51" s="30"/>
      <c r="C51" s="41" t="s">
        <v>155</v>
      </c>
      <c r="D51" s="41"/>
      <c r="E51" s="41"/>
      <c r="F51" s="41"/>
      <c r="G51" s="41"/>
      <c r="H51" s="41"/>
      <c r="I51" s="41"/>
      <c r="J51" s="41"/>
      <c r="K51" s="41"/>
      <c r="L51" s="43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273">
        <v>0</v>
      </c>
      <c r="DW51" s="274">
        <v>0</v>
      </c>
      <c r="DX51" s="274">
        <v>0</v>
      </c>
      <c r="DY51" s="274">
        <v>0</v>
      </c>
      <c r="DZ51" s="274">
        <v>0</v>
      </c>
      <c r="EA51" s="274">
        <v>0</v>
      </c>
      <c r="EB51" s="274">
        <v>0</v>
      </c>
      <c r="EC51" s="274">
        <v>0</v>
      </c>
      <c r="ED51" s="274">
        <v>0</v>
      </c>
      <c r="EE51" s="274">
        <v>0</v>
      </c>
      <c r="EF51" s="274">
        <v>0</v>
      </c>
      <c r="EG51" s="274">
        <v>0</v>
      </c>
      <c r="EH51" s="274">
        <v>0</v>
      </c>
      <c r="EI51" s="274">
        <v>0</v>
      </c>
      <c r="EJ51" s="274">
        <v>0</v>
      </c>
      <c r="EK51" s="274">
        <v>0</v>
      </c>
      <c r="EL51" s="274">
        <v>0</v>
      </c>
      <c r="EM51" s="283" t="s">
        <v>342</v>
      </c>
    </row>
    <row r="52" spans="2:143" ht="10.5" hidden="1">
      <c r="B52" s="30"/>
      <c r="C52" s="41" t="s">
        <v>157</v>
      </c>
      <c r="D52" s="41"/>
      <c r="E52" s="41"/>
      <c r="F52" s="41"/>
      <c r="G52" s="41"/>
      <c r="H52" s="41"/>
      <c r="I52" s="41"/>
      <c r="J52" s="41"/>
      <c r="K52" s="41"/>
      <c r="L52" s="43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273">
        <v>0</v>
      </c>
      <c r="DW52" s="274">
        <v>0</v>
      </c>
      <c r="DX52" s="274">
        <v>0</v>
      </c>
      <c r="DY52" s="274">
        <v>0</v>
      </c>
      <c r="DZ52" s="274">
        <v>0</v>
      </c>
      <c r="EA52" s="274">
        <v>0</v>
      </c>
      <c r="EB52" s="274">
        <v>0</v>
      </c>
      <c r="EC52" s="274">
        <v>0</v>
      </c>
      <c r="ED52" s="274">
        <v>0</v>
      </c>
      <c r="EE52" s="274">
        <v>0</v>
      </c>
      <c r="EF52" s="274">
        <v>0</v>
      </c>
      <c r="EG52" s="274">
        <v>0</v>
      </c>
      <c r="EH52" s="274">
        <v>0</v>
      </c>
      <c r="EI52" s="274">
        <v>0</v>
      </c>
      <c r="EJ52" s="274">
        <v>0</v>
      </c>
      <c r="EK52" s="274">
        <v>0</v>
      </c>
      <c r="EL52" s="274">
        <v>0</v>
      </c>
      <c r="EM52" s="283" t="s">
        <v>342</v>
      </c>
    </row>
    <row r="53" spans="2:143" ht="10.5" hidden="1">
      <c r="B53" s="30"/>
      <c r="C53" s="40" t="s">
        <v>160</v>
      </c>
      <c r="D53" s="40"/>
      <c r="E53" s="40"/>
      <c r="F53" s="40"/>
      <c r="G53" s="40"/>
      <c r="H53" s="40"/>
      <c r="I53" s="40"/>
      <c r="J53" s="40"/>
      <c r="K53" s="40"/>
      <c r="L53" s="42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277">
        <v>0</v>
      </c>
      <c r="DW53" s="278">
        <v>0</v>
      </c>
      <c r="DX53" s="278">
        <v>0</v>
      </c>
      <c r="DY53" s="278">
        <v>0</v>
      </c>
      <c r="DZ53" s="278">
        <v>0</v>
      </c>
      <c r="EA53" s="278">
        <v>0</v>
      </c>
      <c r="EB53" s="278">
        <v>0</v>
      </c>
      <c r="EC53" s="278">
        <v>1</v>
      </c>
      <c r="ED53" s="278">
        <v>0</v>
      </c>
      <c r="EE53" s="278">
        <v>0</v>
      </c>
      <c r="EF53" s="278">
        <v>0</v>
      </c>
      <c r="EG53" s="278">
        <v>0</v>
      </c>
      <c r="EH53" s="278">
        <v>0</v>
      </c>
      <c r="EI53" s="278">
        <v>0</v>
      </c>
      <c r="EJ53" s="278">
        <v>0</v>
      </c>
      <c r="EK53" s="278">
        <v>0</v>
      </c>
      <c r="EL53" s="278">
        <v>0</v>
      </c>
      <c r="EM53" s="294" t="s">
        <v>342</v>
      </c>
    </row>
    <row r="54" spans="1:143" ht="10.5" hidden="1">
      <c r="A54" s="49" t="s">
        <v>392</v>
      </c>
      <c r="B54" s="40">
        <v>7</v>
      </c>
      <c r="C54" s="41" t="s">
        <v>145</v>
      </c>
      <c r="D54" s="41"/>
      <c r="E54" s="41"/>
      <c r="F54" s="41"/>
      <c r="G54" s="41"/>
      <c r="H54" s="41"/>
      <c r="I54" s="41"/>
      <c r="J54" s="41"/>
      <c r="K54" s="41"/>
      <c r="L54" s="4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271">
        <v>0</v>
      </c>
      <c r="DW54" s="272">
        <v>0</v>
      </c>
      <c r="DX54" s="272">
        <v>0</v>
      </c>
      <c r="DY54" s="272">
        <v>0</v>
      </c>
      <c r="DZ54" s="272">
        <v>0</v>
      </c>
      <c r="EA54" s="272">
        <v>0</v>
      </c>
      <c r="EB54" s="272">
        <v>0</v>
      </c>
      <c r="EC54" s="272">
        <v>0</v>
      </c>
      <c r="ED54" s="272">
        <v>1</v>
      </c>
      <c r="EE54" s="272">
        <v>0</v>
      </c>
      <c r="EF54" s="272">
        <v>0</v>
      </c>
      <c r="EG54" s="272">
        <v>0</v>
      </c>
      <c r="EH54" s="272">
        <v>0</v>
      </c>
      <c r="EI54" s="272">
        <v>0</v>
      </c>
      <c r="EJ54" s="272">
        <v>0</v>
      </c>
      <c r="EK54" s="272">
        <v>0</v>
      </c>
      <c r="EL54" s="272">
        <v>0</v>
      </c>
      <c r="EM54" s="286" t="s">
        <v>342</v>
      </c>
    </row>
    <row r="55" spans="2:143" ht="10.5" hidden="1">
      <c r="B55" s="30"/>
      <c r="C55" s="41" t="s">
        <v>147</v>
      </c>
      <c r="D55" s="41"/>
      <c r="E55" s="41"/>
      <c r="F55" s="41"/>
      <c r="G55" s="41"/>
      <c r="H55" s="41"/>
      <c r="I55" s="41"/>
      <c r="J55" s="41"/>
      <c r="K55" s="41"/>
      <c r="L55" s="4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273">
        <v>0</v>
      </c>
      <c r="DW55" s="274">
        <v>0</v>
      </c>
      <c r="DX55" s="274">
        <v>0</v>
      </c>
      <c r="DY55" s="274">
        <v>0</v>
      </c>
      <c r="DZ55" s="274">
        <v>0</v>
      </c>
      <c r="EA55" s="274">
        <v>0</v>
      </c>
      <c r="EB55" s="274">
        <v>0</v>
      </c>
      <c r="EC55" s="274">
        <v>0</v>
      </c>
      <c r="ED55" s="274">
        <v>0</v>
      </c>
      <c r="EE55" s="274">
        <v>0</v>
      </c>
      <c r="EF55" s="274">
        <v>0</v>
      </c>
      <c r="EG55" s="274">
        <v>0</v>
      </c>
      <c r="EH55" s="274">
        <v>0</v>
      </c>
      <c r="EI55" s="274">
        <v>0</v>
      </c>
      <c r="EJ55" s="274">
        <v>0</v>
      </c>
      <c r="EK55" s="274">
        <v>0</v>
      </c>
      <c r="EL55" s="274">
        <v>0</v>
      </c>
      <c r="EM55" s="283" t="s">
        <v>342</v>
      </c>
    </row>
    <row r="56" spans="2:143" ht="10.5" hidden="1">
      <c r="B56" s="30"/>
      <c r="C56" s="41" t="s">
        <v>149</v>
      </c>
      <c r="D56" s="41"/>
      <c r="E56" s="41"/>
      <c r="F56" s="41"/>
      <c r="G56" s="41"/>
      <c r="H56" s="41"/>
      <c r="I56" s="41"/>
      <c r="J56" s="41"/>
      <c r="K56" s="41"/>
      <c r="L56" s="4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273">
        <v>0</v>
      </c>
      <c r="DW56" s="274">
        <v>0</v>
      </c>
      <c r="DX56" s="274">
        <v>0</v>
      </c>
      <c r="DY56" s="274">
        <v>0</v>
      </c>
      <c r="DZ56" s="274">
        <v>0</v>
      </c>
      <c r="EA56" s="274">
        <v>0</v>
      </c>
      <c r="EB56" s="274">
        <v>0</v>
      </c>
      <c r="EC56" s="274">
        <v>0</v>
      </c>
      <c r="ED56" s="274">
        <v>0</v>
      </c>
      <c r="EE56" s="274">
        <v>0</v>
      </c>
      <c r="EF56" s="274">
        <v>0</v>
      </c>
      <c r="EG56" s="274">
        <v>0</v>
      </c>
      <c r="EH56" s="274">
        <v>0</v>
      </c>
      <c r="EI56" s="274">
        <v>0</v>
      </c>
      <c r="EJ56" s="274">
        <v>0</v>
      </c>
      <c r="EK56" s="274">
        <v>0</v>
      </c>
      <c r="EL56" s="274">
        <v>0</v>
      </c>
      <c r="EM56" s="283" t="s">
        <v>342</v>
      </c>
    </row>
    <row r="57" spans="2:143" ht="10.5" hidden="1">
      <c r="B57" s="30"/>
      <c r="C57" s="41" t="s">
        <v>151</v>
      </c>
      <c r="D57" s="41"/>
      <c r="E57" s="41"/>
      <c r="F57" s="41"/>
      <c r="G57" s="41"/>
      <c r="H57" s="41"/>
      <c r="I57" s="41"/>
      <c r="J57" s="41"/>
      <c r="K57" s="41"/>
      <c r="L57" s="4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273">
        <v>0</v>
      </c>
      <c r="DW57" s="274">
        <v>0</v>
      </c>
      <c r="DX57" s="274">
        <v>0</v>
      </c>
      <c r="DY57" s="274">
        <v>0</v>
      </c>
      <c r="DZ57" s="274">
        <v>0</v>
      </c>
      <c r="EA57" s="274">
        <v>0</v>
      </c>
      <c r="EB57" s="274">
        <v>0</v>
      </c>
      <c r="EC57" s="274">
        <v>0</v>
      </c>
      <c r="ED57" s="274">
        <v>0</v>
      </c>
      <c r="EE57" s="274">
        <v>0</v>
      </c>
      <c r="EF57" s="274">
        <v>0</v>
      </c>
      <c r="EG57" s="274">
        <v>0</v>
      </c>
      <c r="EH57" s="274">
        <v>0</v>
      </c>
      <c r="EI57" s="274">
        <v>0</v>
      </c>
      <c r="EJ57" s="274">
        <v>0</v>
      </c>
      <c r="EK57" s="274">
        <v>0</v>
      </c>
      <c r="EL57" s="274">
        <v>0</v>
      </c>
      <c r="EM57" s="283" t="s">
        <v>342</v>
      </c>
    </row>
    <row r="58" spans="2:143" ht="10.5" hidden="1">
      <c r="B58" s="30"/>
      <c r="C58" s="41" t="s">
        <v>153</v>
      </c>
      <c r="D58" s="41"/>
      <c r="E58" s="41"/>
      <c r="F58" s="41"/>
      <c r="G58" s="41"/>
      <c r="H58" s="41"/>
      <c r="I58" s="41"/>
      <c r="J58" s="41"/>
      <c r="K58" s="41"/>
      <c r="L58" s="4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273">
        <v>0</v>
      </c>
      <c r="DW58" s="274">
        <v>0</v>
      </c>
      <c r="DX58" s="274">
        <v>0</v>
      </c>
      <c r="DY58" s="274">
        <v>0</v>
      </c>
      <c r="DZ58" s="274">
        <v>0</v>
      </c>
      <c r="EA58" s="274">
        <v>0</v>
      </c>
      <c r="EB58" s="274">
        <v>0</v>
      </c>
      <c r="EC58" s="274">
        <v>0</v>
      </c>
      <c r="ED58" s="274">
        <v>0</v>
      </c>
      <c r="EE58" s="274">
        <v>0</v>
      </c>
      <c r="EF58" s="274">
        <v>0</v>
      </c>
      <c r="EG58" s="274">
        <v>0</v>
      </c>
      <c r="EH58" s="274">
        <v>0</v>
      </c>
      <c r="EI58" s="274">
        <v>0</v>
      </c>
      <c r="EJ58" s="274">
        <v>0</v>
      </c>
      <c r="EK58" s="274">
        <v>0</v>
      </c>
      <c r="EL58" s="274">
        <v>0</v>
      </c>
      <c r="EM58" s="283" t="s">
        <v>342</v>
      </c>
    </row>
    <row r="59" spans="2:143" ht="10.5" hidden="1">
      <c r="B59" s="30"/>
      <c r="C59" s="41" t="s">
        <v>155</v>
      </c>
      <c r="D59" s="41"/>
      <c r="E59" s="41"/>
      <c r="F59" s="41"/>
      <c r="G59" s="41"/>
      <c r="H59" s="41"/>
      <c r="I59" s="41"/>
      <c r="J59" s="41"/>
      <c r="K59" s="41"/>
      <c r="L59" s="4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273">
        <v>0</v>
      </c>
      <c r="DW59" s="274">
        <v>0</v>
      </c>
      <c r="DX59" s="274">
        <v>0</v>
      </c>
      <c r="DY59" s="274">
        <v>0</v>
      </c>
      <c r="DZ59" s="274">
        <v>0</v>
      </c>
      <c r="EA59" s="274">
        <v>0</v>
      </c>
      <c r="EB59" s="274">
        <v>0</v>
      </c>
      <c r="EC59" s="274">
        <v>0</v>
      </c>
      <c r="ED59" s="274">
        <v>0</v>
      </c>
      <c r="EE59" s="274">
        <v>0</v>
      </c>
      <c r="EF59" s="274">
        <v>0</v>
      </c>
      <c r="EG59" s="274">
        <v>0</v>
      </c>
      <c r="EH59" s="274">
        <v>0</v>
      </c>
      <c r="EI59" s="274">
        <v>0</v>
      </c>
      <c r="EJ59" s="274">
        <v>0</v>
      </c>
      <c r="EK59" s="274">
        <v>0</v>
      </c>
      <c r="EL59" s="274">
        <v>0</v>
      </c>
      <c r="EM59" s="283" t="s">
        <v>342</v>
      </c>
    </row>
    <row r="60" spans="2:143" ht="10.5" hidden="1">
      <c r="B60" s="30"/>
      <c r="C60" s="41" t="s">
        <v>157</v>
      </c>
      <c r="D60" s="41"/>
      <c r="E60" s="41"/>
      <c r="F60" s="41"/>
      <c r="G60" s="41"/>
      <c r="H60" s="41"/>
      <c r="I60" s="41"/>
      <c r="J60" s="41"/>
      <c r="K60" s="41"/>
      <c r="L60" s="4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273">
        <v>0</v>
      </c>
      <c r="DW60" s="274">
        <v>0</v>
      </c>
      <c r="DX60" s="274">
        <v>0</v>
      </c>
      <c r="DY60" s="274">
        <v>0</v>
      </c>
      <c r="DZ60" s="274">
        <v>0</v>
      </c>
      <c r="EA60" s="274">
        <v>0</v>
      </c>
      <c r="EB60" s="274">
        <v>0</v>
      </c>
      <c r="EC60" s="274">
        <v>0</v>
      </c>
      <c r="ED60" s="274">
        <v>0</v>
      </c>
      <c r="EE60" s="274">
        <v>0</v>
      </c>
      <c r="EF60" s="274">
        <v>0</v>
      </c>
      <c r="EG60" s="274">
        <v>0</v>
      </c>
      <c r="EH60" s="274">
        <v>0</v>
      </c>
      <c r="EI60" s="274">
        <v>0</v>
      </c>
      <c r="EJ60" s="274">
        <v>0</v>
      </c>
      <c r="EK60" s="274">
        <v>0</v>
      </c>
      <c r="EL60" s="274">
        <v>0</v>
      </c>
      <c r="EM60" s="283" t="s">
        <v>342</v>
      </c>
    </row>
    <row r="61" spans="2:143" ht="10.5" hidden="1">
      <c r="B61" s="30"/>
      <c r="C61" s="40" t="s">
        <v>160</v>
      </c>
      <c r="D61" s="40"/>
      <c r="E61" s="40"/>
      <c r="F61" s="40"/>
      <c r="G61" s="40"/>
      <c r="H61" s="40"/>
      <c r="I61" s="40"/>
      <c r="J61" s="40"/>
      <c r="K61" s="40"/>
      <c r="L61" s="42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277">
        <v>0</v>
      </c>
      <c r="DW61" s="278">
        <v>0</v>
      </c>
      <c r="DX61" s="278">
        <v>0</v>
      </c>
      <c r="DY61" s="278">
        <v>0</v>
      </c>
      <c r="DZ61" s="278">
        <v>0</v>
      </c>
      <c r="EA61" s="278">
        <v>0</v>
      </c>
      <c r="EB61" s="278">
        <v>0</v>
      </c>
      <c r="EC61" s="278">
        <v>0</v>
      </c>
      <c r="ED61" s="278">
        <v>1</v>
      </c>
      <c r="EE61" s="278">
        <v>0</v>
      </c>
      <c r="EF61" s="278">
        <v>0</v>
      </c>
      <c r="EG61" s="278">
        <v>0</v>
      </c>
      <c r="EH61" s="278">
        <v>0</v>
      </c>
      <c r="EI61" s="278">
        <v>0</v>
      </c>
      <c r="EJ61" s="278">
        <v>0</v>
      </c>
      <c r="EK61" s="278">
        <v>0</v>
      </c>
      <c r="EL61" s="278">
        <v>0</v>
      </c>
      <c r="EM61" s="294" t="s">
        <v>342</v>
      </c>
    </row>
    <row r="62" spans="1:143" ht="10.5" hidden="1">
      <c r="A62" s="49" t="s">
        <v>393</v>
      </c>
      <c r="B62" s="40">
        <v>8</v>
      </c>
      <c r="C62" s="41" t="s">
        <v>145</v>
      </c>
      <c r="D62" s="41"/>
      <c r="E62" s="41"/>
      <c r="F62" s="41"/>
      <c r="G62" s="41"/>
      <c r="H62" s="41"/>
      <c r="I62" s="41"/>
      <c r="J62" s="41"/>
      <c r="K62" s="41"/>
      <c r="L62" s="4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271">
        <v>0</v>
      </c>
      <c r="DW62" s="272">
        <v>0</v>
      </c>
      <c r="DX62" s="272">
        <v>0</v>
      </c>
      <c r="DY62" s="272">
        <v>0</v>
      </c>
      <c r="DZ62" s="272">
        <v>0</v>
      </c>
      <c r="EA62" s="272">
        <v>0</v>
      </c>
      <c r="EB62" s="272">
        <v>0</v>
      </c>
      <c r="EC62" s="272">
        <v>0</v>
      </c>
      <c r="ED62" s="272">
        <v>0</v>
      </c>
      <c r="EE62" s="272">
        <v>1</v>
      </c>
      <c r="EF62" s="272">
        <v>0</v>
      </c>
      <c r="EG62" s="272">
        <v>0</v>
      </c>
      <c r="EH62" s="272">
        <v>0</v>
      </c>
      <c r="EI62" s="272">
        <v>0</v>
      </c>
      <c r="EJ62" s="272">
        <v>0</v>
      </c>
      <c r="EK62" s="272">
        <v>0</v>
      </c>
      <c r="EL62" s="272">
        <v>0</v>
      </c>
      <c r="EM62" s="286" t="s">
        <v>342</v>
      </c>
    </row>
    <row r="63" spans="2:143" ht="10.5" hidden="1">
      <c r="B63" s="30"/>
      <c r="C63" s="41" t="s">
        <v>147</v>
      </c>
      <c r="D63" s="41"/>
      <c r="E63" s="41"/>
      <c r="F63" s="41"/>
      <c r="G63" s="41"/>
      <c r="H63" s="41"/>
      <c r="I63" s="41"/>
      <c r="J63" s="41"/>
      <c r="K63" s="41"/>
      <c r="L63" s="4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273">
        <v>0</v>
      </c>
      <c r="DW63" s="274">
        <v>0</v>
      </c>
      <c r="DX63" s="274">
        <v>0</v>
      </c>
      <c r="DY63" s="274">
        <v>0</v>
      </c>
      <c r="DZ63" s="274">
        <v>0</v>
      </c>
      <c r="EA63" s="274">
        <v>0</v>
      </c>
      <c r="EB63" s="274">
        <v>0</v>
      </c>
      <c r="EC63" s="274">
        <v>0</v>
      </c>
      <c r="ED63" s="274">
        <v>0</v>
      </c>
      <c r="EE63" s="274">
        <v>0</v>
      </c>
      <c r="EF63" s="274">
        <v>0</v>
      </c>
      <c r="EG63" s="274">
        <v>0</v>
      </c>
      <c r="EH63" s="274">
        <v>0</v>
      </c>
      <c r="EI63" s="274">
        <v>0</v>
      </c>
      <c r="EJ63" s="274">
        <v>0</v>
      </c>
      <c r="EK63" s="274">
        <v>0</v>
      </c>
      <c r="EL63" s="274">
        <v>0</v>
      </c>
      <c r="EM63" s="283" t="s">
        <v>342</v>
      </c>
    </row>
    <row r="64" spans="2:143" ht="10.5" hidden="1">
      <c r="B64" s="30"/>
      <c r="C64" s="41" t="s">
        <v>149</v>
      </c>
      <c r="D64" s="41"/>
      <c r="E64" s="41"/>
      <c r="F64" s="41"/>
      <c r="G64" s="41"/>
      <c r="H64" s="41"/>
      <c r="I64" s="41"/>
      <c r="J64" s="41"/>
      <c r="K64" s="41"/>
      <c r="L64" s="43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273">
        <v>0</v>
      </c>
      <c r="DW64" s="274">
        <v>0</v>
      </c>
      <c r="DX64" s="274">
        <v>0</v>
      </c>
      <c r="DY64" s="274">
        <v>0</v>
      </c>
      <c r="DZ64" s="274">
        <v>0</v>
      </c>
      <c r="EA64" s="274">
        <v>0</v>
      </c>
      <c r="EB64" s="274">
        <v>0</v>
      </c>
      <c r="EC64" s="274">
        <v>0</v>
      </c>
      <c r="ED64" s="274">
        <v>0</v>
      </c>
      <c r="EE64" s="274">
        <v>0</v>
      </c>
      <c r="EF64" s="274">
        <v>0</v>
      </c>
      <c r="EG64" s="274">
        <v>0</v>
      </c>
      <c r="EH64" s="274">
        <v>0</v>
      </c>
      <c r="EI64" s="274">
        <v>0</v>
      </c>
      <c r="EJ64" s="274">
        <v>0</v>
      </c>
      <c r="EK64" s="274">
        <v>0</v>
      </c>
      <c r="EL64" s="274">
        <v>0</v>
      </c>
      <c r="EM64" s="283" t="s">
        <v>342</v>
      </c>
    </row>
    <row r="65" spans="2:143" ht="10.5" hidden="1">
      <c r="B65" s="30"/>
      <c r="C65" s="41" t="s">
        <v>151</v>
      </c>
      <c r="D65" s="41"/>
      <c r="E65" s="41"/>
      <c r="F65" s="41"/>
      <c r="G65" s="41"/>
      <c r="H65" s="41"/>
      <c r="I65" s="41"/>
      <c r="J65" s="41"/>
      <c r="K65" s="41"/>
      <c r="L65" s="43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273">
        <v>0</v>
      </c>
      <c r="DW65" s="274">
        <v>0</v>
      </c>
      <c r="DX65" s="274">
        <v>0</v>
      </c>
      <c r="DY65" s="274">
        <v>0</v>
      </c>
      <c r="DZ65" s="274">
        <v>0</v>
      </c>
      <c r="EA65" s="274">
        <v>0</v>
      </c>
      <c r="EB65" s="274">
        <v>0</v>
      </c>
      <c r="EC65" s="274">
        <v>0</v>
      </c>
      <c r="ED65" s="274">
        <v>0</v>
      </c>
      <c r="EE65" s="274">
        <v>0</v>
      </c>
      <c r="EF65" s="274">
        <v>0</v>
      </c>
      <c r="EG65" s="274">
        <v>0</v>
      </c>
      <c r="EH65" s="274">
        <v>0</v>
      </c>
      <c r="EI65" s="274">
        <v>0</v>
      </c>
      <c r="EJ65" s="274">
        <v>0</v>
      </c>
      <c r="EK65" s="274">
        <v>0</v>
      </c>
      <c r="EL65" s="274">
        <v>0</v>
      </c>
      <c r="EM65" s="283" t="s">
        <v>342</v>
      </c>
    </row>
    <row r="66" spans="2:143" ht="10.5" hidden="1">
      <c r="B66" s="30"/>
      <c r="C66" s="41" t="s">
        <v>153</v>
      </c>
      <c r="D66" s="41"/>
      <c r="E66" s="41"/>
      <c r="F66" s="41"/>
      <c r="G66" s="41"/>
      <c r="H66" s="41"/>
      <c r="I66" s="41"/>
      <c r="J66" s="41"/>
      <c r="K66" s="41"/>
      <c r="L66" s="4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273">
        <v>0</v>
      </c>
      <c r="DW66" s="274">
        <v>0</v>
      </c>
      <c r="DX66" s="274">
        <v>0</v>
      </c>
      <c r="DY66" s="274">
        <v>0</v>
      </c>
      <c r="DZ66" s="274">
        <v>0</v>
      </c>
      <c r="EA66" s="274">
        <v>0</v>
      </c>
      <c r="EB66" s="274">
        <v>0</v>
      </c>
      <c r="EC66" s="274">
        <v>0</v>
      </c>
      <c r="ED66" s="274">
        <v>0</v>
      </c>
      <c r="EE66" s="274">
        <v>0</v>
      </c>
      <c r="EF66" s="274">
        <v>0</v>
      </c>
      <c r="EG66" s="274">
        <v>0</v>
      </c>
      <c r="EH66" s="274">
        <v>0</v>
      </c>
      <c r="EI66" s="274">
        <v>0</v>
      </c>
      <c r="EJ66" s="274">
        <v>0</v>
      </c>
      <c r="EK66" s="274">
        <v>0</v>
      </c>
      <c r="EL66" s="274">
        <v>0</v>
      </c>
      <c r="EM66" s="283" t="s">
        <v>342</v>
      </c>
    </row>
    <row r="67" spans="2:143" ht="10.5" hidden="1">
      <c r="B67" s="30"/>
      <c r="C67" s="41" t="s">
        <v>155</v>
      </c>
      <c r="D67" s="41"/>
      <c r="E67" s="41"/>
      <c r="F67" s="41"/>
      <c r="G67" s="41"/>
      <c r="H67" s="41"/>
      <c r="I67" s="41"/>
      <c r="J67" s="41"/>
      <c r="K67" s="41"/>
      <c r="L67" s="4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273">
        <v>0</v>
      </c>
      <c r="DW67" s="274">
        <v>0</v>
      </c>
      <c r="DX67" s="274">
        <v>0</v>
      </c>
      <c r="DY67" s="274">
        <v>0</v>
      </c>
      <c r="DZ67" s="274">
        <v>0</v>
      </c>
      <c r="EA67" s="274">
        <v>0</v>
      </c>
      <c r="EB67" s="274">
        <v>0</v>
      </c>
      <c r="EC67" s="274">
        <v>0</v>
      </c>
      <c r="ED67" s="274">
        <v>0</v>
      </c>
      <c r="EE67" s="274">
        <v>0</v>
      </c>
      <c r="EF67" s="274">
        <v>0</v>
      </c>
      <c r="EG67" s="274">
        <v>0</v>
      </c>
      <c r="EH67" s="274">
        <v>0</v>
      </c>
      <c r="EI67" s="274">
        <v>0</v>
      </c>
      <c r="EJ67" s="274">
        <v>0</v>
      </c>
      <c r="EK67" s="274">
        <v>0</v>
      </c>
      <c r="EL67" s="274">
        <v>0</v>
      </c>
      <c r="EM67" s="283" t="s">
        <v>342</v>
      </c>
    </row>
    <row r="68" spans="2:143" ht="10.5" hidden="1">
      <c r="B68" s="30"/>
      <c r="C68" s="41" t="s">
        <v>157</v>
      </c>
      <c r="D68" s="41"/>
      <c r="E68" s="41"/>
      <c r="F68" s="41"/>
      <c r="G68" s="41"/>
      <c r="H68" s="41"/>
      <c r="I68" s="41"/>
      <c r="J68" s="41"/>
      <c r="K68" s="41"/>
      <c r="L68" s="43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273">
        <v>0</v>
      </c>
      <c r="DW68" s="274">
        <v>0</v>
      </c>
      <c r="DX68" s="274">
        <v>0</v>
      </c>
      <c r="DY68" s="274">
        <v>0</v>
      </c>
      <c r="DZ68" s="274">
        <v>0</v>
      </c>
      <c r="EA68" s="274">
        <v>0</v>
      </c>
      <c r="EB68" s="274">
        <v>0</v>
      </c>
      <c r="EC68" s="274">
        <v>0</v>
      </c>
      <c r="ED68" s="274">
        <v>0</v>
      </c>
      <c r="EE68" s="274">
        <v>0</v>
      </c>
      <c r="EF68" s="274">
        <v>0</v>
      </c>
      <c r="EG68" s="274">
        <v>0</v>
      </c>
      <c r="EH68" s="274">
        <v>0</v>
      </c>
      <c r="EI68" s="274">
        <v>0</v>
      </c>
      <c r="EJ68" s="274">
        <v>0</v>
      </c>
      <c r="EK68" s="274">
        <v>0</v>
      </c>
      <c r="EL68" s="274">
        <v>0</v>
      </c>
      <c r="EM68" s="283" t="s">
        <v>342</v>
      </c>
    </row>
    <row r="69" spans="2:143" ht="10.5" hidden="1">
      <c r="B69" s="30"/>
      <c r="C69" s="40" t="s">
        <v>160</v>
      </c>
      <c r="D69" s="40"/>
      <c r="E69" s="40"/>
      <c r="F69" s="40"/>
      <c r="G69" s="40"/>
      <c r="H69" s="40"/>
      <c r="I69" s="40"/>
      <c r="J69" s="40"/>
      <c r="K69" s="40"/>
      <c r="L69" s="42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277">
        <v>0</v>
      </c>
      <c r="DW69" s="278">
        <v>0</v>
      </c>
      <c r="DX69" s="278">
        <v>0</v>
      </c>
      <c r="DY69" s="278">
        <v>0</v>
      </c>
      <c r="DZ69" s="278">
        <v>0</v>
      </c>
      <c r="EA69" s="278">
        <v>0</v>
      </c>
      <c r="EB69" s="278">
        <v>0</v>
      </c>
      <c r="EC69" s="278">
        <v>0</v>
      </c>
      <c r="ED69" s="278">
        <v>0</v>
      </c>
      <c r="EE69" s="278">
        <v>1</v>
      </c>
      <c r="EF69" s="278">
        <v>0</v>
      </c>
      <c r="EG69" s="278">
        <v>0</v>
      </c>
      <c r="EH69" s="278">
        <v>0</v>
      </c>
      <c r="EI69" s="278">
        <v>0</v>
      </c>
      <c r="EJ69" s="278">
        <v>0</v>
      </c>
      <c r="EK69" s="278">
        <v>0</v>
      </c>
      <c r="EL69" s="278">
        <v>0</v>
      </c>
      <c r="EM69" s="294" t="s">
        <v>342</v>
      </c>
    </row>
    <row r="70" spans="1:143" ht="10.5" hidden="1">
      <c r="A70" s="49" t="s">
        <v>394</v>
      </c>
      <c r="B70" s="40">
        <v>9</v>
      </c>
      <c r="C70" s="41" t="s">
        <v>145</v>
      </c>
      <c r="D70" s="41"/>
      <c r="E70" s="41"/>
      <c r="F70" s="41"/>
      <c r="G70" s="41"/>
      <c r="H70" s="41"/>
      <c r="I70" s="41"/>
      <c r="J70" s="41"/>
      <c r="K70" s="41"/>
      <c r="L70" s="43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271">
        <v>0</v>
      </c>
      <c r="DW70" s="272">
        <v>0</v>
      </c>
      <c r="DX70" s="272">
        <v>0</v>
      </c>
      <c r="DY70" s="272">
        <v>0</v>
      </c>
      <c r="DZ70" s="272">
        <v>0</v>
      </c>
      <c r="EA70" s="272">
        <v>0</v>
      </c>
      <c r="EB70" s="272">
        <v>0</v>
      </c>
      <c r="EC70" s="272">
        <v>0</v>
      </c>
      <c r="ED70" s="272">
        <v>0</v>
      </c>
      <c r="EE70" s="272">
        <v>0</v>
      </c>
      <c r="EF70" s="272">
        <v>1</v>
      </c>
      <c r="EG70" s="272">
        <v>0</v>
      </c>
      <c r="EH70" s="272">
        <v>0</v>
      </c>
      <c r="EI70" s="272">
        <v>0</v>
      </c>
      <c r="EJ70" s="272">
        <v>0</v>
      </c>
      <c r="EK70" s="272">
        <v>0</v>
      </c>
      <c r="EL70" s="272">
        <v>0</v>
      </c>
      <c r="EM70" s="286" t="s">
        <v>342</v>
      </c>
    </row>
    <row r="71" spans="2:143" ht="10.5" hidden="1">
      <c r="B71" s="30"/>
      <c r="C71" s="41" t="s">
        <v>147</v>
      </c>
      <c r="D71" s="41"/>
      <c r="E71" s="41"/>
      <c r="F71" s="41"/>
      <c r="G71" s="41"/>
      <c r="H71" s="41"/>
      <c r="I71" s="41"/>
      <c r="J71" s="41"/>
      <c r="K71" s="41"/>
      <c r="L71" s="4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273">
        <v>0</v>
      </c>
      <c r="DW71" s="274">
        <v>0</v>
      </c>
      <c r="DX71" s="274">
        <v>0</v>
      </c>
      <c r="DY71" s="274">
        <v>0</v>
      </c>
      <c r="DZ71" s="274">
        <v>0</v>
      </c>
      <c r="EA71" s="274">
        <v>0</v>
      </c>
      <c r="EB71" s="274">
        <v>0</v>
      </c>
      <c r="EC71" s="274">
        <v>0</v>
      </c>
      <c r="ED71" s="274">
        <v>0</v>
      </c>
      <c r="EE71" s="274">
        <v>0</v>
      </c>
      <c r="EF71" s="274">
        <v>0</v>
      </c>
      <c r="EG71" s="274">
        <v>0</v>
      </c>
      <c r="EH71" s="274">
        <v>0</v>
      </c>
      <c r="EI71" s="274">
        <v>0</v>
      </c>
      <c r="EJ71" s="274">
        <v>0</v>
      </c>
      <c r="EK71" s="274">
        <v>0</v>
      </c>
      <c r="EL71" s="274">
        <v>0</v>
      </c>
      <c r="EM71" s="283" t="s">
        <v>342</v>
      </c>
    </row>
    <row r="72" spans="2:143" ht="10.5" hidden="1">
      <c r="B72" s="30"/>
      <c r="C72" s="41" t="s">
        <v>149</v>
      </c>
      <c r="D72" s="41"/>
      <c r="E72" s="41"/>
      <c r="F72" s="41"/>
      <c r="G72" s="41"/>
      <c r="H72" s="41"/>
      <c r="I72" s="41"/>
      <c r="J72" s="41"/>
      <c r="K72" s="41"/>
      <c r="L72" s="43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273">
        <v>0</v>
      </c>
      <c r="DW72" s="274">
        <v>0</v>
      </c>
      <c r="DX72" s="274">
        <v>0</v>
      </c>
      <c r="DY72" s="274">
        <v>0</v>
      </c>
      <c r="DZ72" s="274">
        <v>0</v>
      </c>
      <c r="EA72" s="274">
        <v>0</v>
      </c>
      <c r="EB72" s="274">
        <v>0</v>
      </c>
      <c r="EC72" s="274">
        <v>0</v>
      </c>
      <c r="ED72" s="274">
        <v>0</v>
      </c>
      <c r="EE72" s="274">
        <v>0</v>
      </c>
      <c r="EF72" s="274">
        <v>0</v>
      </c>
      <c r="EG72" s="274">
        <v>0</v>
      </c>
      <c r="EH72" s="274">
        <v>0</v>
      </c>
      <c r="EI72" s="274">
        <v>0</v>
      </c>
      <c r="EJ72" s="274">
        <v>0</v>
      </c>
      <c r="EK72" s="274">
        <v>0</v>
      </c>
      <c r="EL72" s="274">
        <v>0</v>
      </c>
      <c r="EM72" s="283" t="s">
        <v>342</v>
      </c>
    </row>
    <row r="73" spans="2:143" ht="10.5" hidden="1">
      <c r="B73" s="30"/>
      <c r="C73" s="41" t="s">
        <v>151</v>
      </c>
      <c r="D73" s="41"/>
      <c r="E73" s="41"/>
      <c r="F73" s="41"/>
      <c r="G73" s="41"/>
      <c r="H73" s="41"/>
      <c r="I73" s="41"/>
      <c r="J73" s="41"/>
      <c r="K73" s="41"/>
      <c r="L73" s="43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273">
        <v>0</v>
      </c>
      <c r="DW73" s="274">
        <v>0</v>
      </c>
      <c r="DX73" s="274">
        <v>0</v>
      </c>
      <c r="DY73" s="274">
        <v>0</v>
      </c>
      <c r="DZ73" s="274">
        <v>0</v>
      </c>
      <c r="EA73" s="274">
        <v>0</v>
      </c>
      <c r="EB73" s="274">
        <v>0</v>
      </c>
      <c r="EC73" s="274">
        <v>0</v>
      </c>
      <c r="ED73" s="274">
        <v>0</v>
      </c>
      <c r="EE73" s="274">
        <v>0</v>
      </c>
      <c r="EF73" s="274">
        <v>0</v>
      </c>
      <c r="EG73" s="274">
        <v>0</v>
      </c>
      <c r="EH73" s="274">
        <v>0</v>
      </c>
      <c r="EI73" s="274">
        <v>0</v>
      </c>
      <c r="EJ73" s="274">
        <v>0</v>
      </c>
      <c r="EK73" s="274">
        <v>0</v>
      </c>
      <c r="EL73" s="274">
        <v>0</v>
      </c>
      <c r="EM73" s="283" t="s">
        <v>342</v>
      </c>
    </row>
    <row r="74" spans="2:143" ht="10.5" hidden="1">
      <c r="B74" s="30"/>
      <c r="C74" s="41" t="s">
        <v>153</v>
      </c>
      <c r="D74" s="41"/>
      <c r="E74" s="41"/>
      <c r="F74" s="41"/>
      <c r="G74" s="41"/>
      <c r="H74" s="41"/>
      <c r="I74" s="41"/>
      <c r="J74" s="41"/>
      <c r="K74" s="41"/>
      <c r="L74" s="43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273">
        <v>0</v>
      </c>
      <c r="DW74" s="274">
        <v>0</v>
      </c>
      <c r="DX74" s="274">
        <v>0</v>
      </c>
      <c r="DY74" s="274">
        <v>0</v>
      </c>
      <c r="DZ74" s="274">
        <v>0</v>
      </c>
      <c r="EA74" s="274">
        <v>0</v>
      </c>
      <c r="EB74" s="274">
        <v>0</v>
      </c>
      <c r="EC74" s="274">
        <v>0</v>
      </c>
      <c r="ED74" s="274">
        <v>0</v>
      </c>
      <c r="EE74" s="274">
        <v>0</v>
      </c>
      <c r="EF74" s="274">
        <v>0</v>
      </c>
      <c r="EG74" s="274">
        <v>0</v>
      </c>
      <c r="EH74" s="274">
        <v>0</v>
      </c>
      <c r="EI74" s="274">
        <v>0</v>
      </c>
      <c r="EJ74" s="274">
        <v>0</v>
      </c>
      <c r="EK74" s="274">
        <v>0</v>
      </c>
      <c r="EL74" s="274">
        <v>0</v>
      </c>
      <c r="EM74" s="283" t="s">
        <v>342</v>
      </c>
    </row>
    <row r="75" spans="2:143" ht="10.5" hidden="1">
      <c r="B75" s="30"/>
      <c r="C75" s="41" t="s">
        <v>155</v>
      </c>
      <c r="D75" s="41"/>
      <c r="E75" s="41"/>
      <c r="F75" s="41"/>
      <c r="G75" s="41"/>
      <c r="H75" s="41"/>
      <c r="I75" s="41"/>
      <c r="J75" s="41"/>
      <c r="K75" s="41"/>
      <c r="L75" s="43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273">
        <v>0</v>
      </c>
      <c r="DW75" s="274">
        <v>0</v>
      </c>
      <c r="DX75" s="274">
        <v>0</v>
      </c>
      <c r="DY75" s="274">
        <v>0</v>
      </c>
      <c r="DZ75" s="274">
        <v>0</v>
      </c>
      <c r="EA75" s="274">
        <v>0</v>
      </c>
      <c r="EB75" s="274">
        <v>0</v>
      </c>
      <c r="EC75" s="274">
        <v>0</v>
      </c>
      <c r="ED75" s="274">
        <v>0</v>
      </c>
      <c r="EE75" s="274">
        <v>0</v>
      </c>
      <c r="EF75" s="274">
        <v>0</v>
      </c>
      <c r="EG75" s="274">
        <v>0</v>
      </c>
      <c r="EH75" s="274">
        <v>0</v>
      </c>
      <c r="EI75" s="274">
        <v>0</v>
      </c>
      <c r="EJ75" s="274">
        <v>0</v>
      </c>
      <c r="EK75" s="274">
        <v>0</v>
      </c>
      <c r="EL75" s="274">
        <v>0</v>
      </c>
      <c r="EM75" s="283" t="s">
        <v>342</v>
      </c>
    </row>
    <row r="76" spans="2:143" ht="10.5" hidden="1">
      <c r="B76" s="30"/>
      <c r="C76" s="41" t="s">
        <v>157</v>
      </c>
      <c r="D76" s="41"/>
      <c r="E76" s="41"/>
      <c r="F76" s="41"/>
      <c r="G76" s="41"/>
      <c r="H76" s="41"/>
      <c r="I76" s="41"/>
      <c r="J76" s="41"/>
      <c r="K76" s="41"/>
      <c r="L76" s="43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273">
        <v>0</v>
      </c>
      <c r="DW76" s="274">
        <v>0</v>
      </c>
      <c r="DX76" s="274">
        <v>0</v>
      </c>
      <c r="DY76" s="274">
        <v>0</v>
      </c>
      <c r="DZ76" s="274">
        <v>0</v>
      </c>
      <c r="EA76" s="274">
        <v>0</v>
      </c>
      <c r="EB76" s="274">
        <v>0</v>
      </c>
      <c r="EC76" s="274">
        <v>0</v>
      </c>
      <c r="ED76" s="274">
        <v>0</v>
      </c>
      <c r="EE76" s="274">
        <v>0</v>
      </c>
      <c r="EF76" s="274">
        <v>0</v>
      </c>
      <c r="EG76" s="274">
        <v>0</v>
      </c>
      <c r="EH76" s="274">
        <v>0</v>
      </c>
      <c r="EI76" s="274">
        <v>0</v>
      </c>
      <c r="EJ76" s="274">
        <v>0</v>
      </c>
      <c r="EK76" s="274">
        <v>0</v>
      </c>
      <c r="EL76" s="274">
        <v>0</v>
      </c>
      <c r="EM76" s="283" t="s">
        <v>342</v>
      </c>
    </row>
    <row r="77" spans="2:143" ht="10.5" hidden="1">
      <c r="B77" s="30"/>
      <c r="C77" s="40" t="s">
        <v>160</v>
      </c>
      <c r="D77" s="40"/>
      <c r="E77" s="40"/>
      <c r="F77" s="40"/>
      <c r="G77" s="40"/>
      <c r="H77" s="40"/>
      <c r="I77" s="40"/>
      <c r="J77" s="40"/>
      <c r="K77" s="40"/>
      <c r="L77" s="42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277">
        <v>0</v>
      </c>
      <c r="DW77" s="278">
        <v>0</v>
      </c>
      <c r="DX77" s="278">
        <v>0</v>
      </c>
      <c r="DY77" s="278">
        <v>0</v>
      </c>
      <c r="DZ77" s="278">
        <v>0</v>
      </c>
      <c r="EA77" s="278">
        <v>0</v>
      </c>
      <c r="EB77" s="278">
        <v>0</v>
      </c>
      <c r="EC77" s="278">
        <v>0</v>
      </c>
      <c r="ED77" s="278">
        <v>0</v>
      </c>
      <c r="EE77" s="278">
        <v>0</v>
      </c>
      <c r="EF77" s="278">
        <v>1</v>
      </c>
      <c r="EG77" s="278">
        <v>0</v>
      </c>
      <c r="EH77" s="278">
        <v>0</v>
      </c>
      <c r="EI77" s="278">
        <v>0</v>
      </c>
      <c r="EJ77" s="278">
        <v>0</v>
      </c>
      <c r="EK77" s="278">
        <v>0</v>
      </c>
      <c r="EL77" s="278">
        <v>0</v>
      </c>
      <c r="EM77" s="294" t="s">
        <v>342</v>
      </c>
    </row>
    <row r="78" spans="1:143" ht="10.5" hidden="1">
      <c r="A78" s="49" t="s">
        <v>395</v>
      </c>
      <c r="B78" s="40">
        <v>10</v>
      </c>
      <c r="C78" s="41" t="s">
        <v>145</v>
      </c>
      <c r="D78" s="41"/>
      <c r="E78" s="41"/>
      <c r="F78" s="41"/>
      <c r="G78" s="41"/>
      <c r="H78" s="41"/>
      <c r="I78" s="41"/>
      <c r="J78" s="41"/>
      <c r="K78" s="41"/>
      <c r="L78" s="43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271">
        <v>0</v>
      </c>
      <c r="DW78" s="272">
        <v>0</v>
      </c>
      <c r="DX78" s="272">
        <v>0</v>
      </c>
      <c r="DY78" s="272">
        <v>0</v>
      </c>
      <c r="DZ78" s="272">
        <v>0</v>
      </c>
      <c r="EA78" s="272">
        <v>0</v>
      </c>
      <c r="EB78" s="272">
        <v>0</v>
      </c>
      <c r="EC78" s="272">
        <v>0</v>
      </c>
      <c r="ED78" s="272">
        <v>0</v>
      </c>
      <c r="EE78" s="272">
        <v>0</v>
      </c>
      <c r="EF78" s="272">
        <v>0</v>
      </c>
      <c r="EG78" s="272">
        <v>1</v>
      </c>
      <c r="EH78" s="272">
        <v>0</v>
      </c>
      <c r="EI78" s="272">
        <v>0</v>
      </c>
      <c r="EJ78" s="272">
        <v>0</v>
      </c>
      <c r="EK78" s="272">
        <v>0</v>
      </c>
      <c r="EL78" s="272">
        <v>0</v>
      </c>
      <c r="EM78" s="286" t="s">
        <v>342</v>
      </c>
    </row>
    <row r="79" spans="2:143" ht="10.5" hidden="1">
      <c r="B79" s="30"/>
      <c r="C79" s="41" t="s">
        <v>147</v>
      </c>
      <c r="D79" s="41"/>
      <c r="E79" s="41"/>
      <c r="F79" s="41"/>
      <c r="G79" s="41"/>
      <c r="H79" s="41"/>
      <c r="I79" s="41"/>
      <c r="J79" s="41"/>
      <c r="K79" s="41"/>
      <c r="L79" s="43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273">
        <v>0</v>
      </c>
      <c r="DW79" s="274">
        <v>0</v>
      </c>
      <c r="DX79" s="274">
        <v>0</v>
      </c>
      <c r="DY79" s="274">
        <v>0</v>
      </c>
      <c r="DZ79" s="274">
        <v>0</v>
      </c>
      <c r="EA79" s="274">
        <v>0</v>
      </c>
      <c r="EB79" s="274">
        <v>0</v>
      </c>
      <c r="EC79" s="274">
        <v>0</v>
      </c>
      <c r="ED79" s="274">
        <v>0</v>
      </c>
      <c r="EE79" s="274">
        <v>0</v>
      </c>
      <c r="EF79" s="274">
        <v>0</v>
      </c>
      <c r="EG79" s="274">
        <v>0</v>
      </c>
      <c r="EH79" s="274">
        <v>0</v>
      </c>
      <c r="EI79" s="274">
        <v>0</v>
      </c>
      <c r="EJ79" s="274">
        <v>0</v>
      </c>
      <c r="EK79" s="274">
        <v>0</v>
      </c>
      <c r="EL79" s="274">
        <v>0</v>
      </c>
      <c r="EM79" s="283" t="s">
        <v>342</v>
      </c>
    </row>
    <row r="80" spans="2:143" ht="10.5" hidden="1">
      <c r="B80" s="30"/>
      <c r="C80" s="41" t="s">
        <v>149</v>
      </c>
      <c r="D80" s="41"/>
      <c r="E80" s="41"/>
      <c r="F80" s="41"/>
      <c r="G80" s="41"/>
      <c r="H80" s="41"/>
      <c r="I80" s="41"/>
      <c r="J80" s="41"/>
      <c r="K80" s="41"/>
      <c r="L80" s="43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273">
        <v>0</v>
      </c>
      <c r="DW80" s="274">
        <v>0</v>
      </c>
      <c r="DX80" s="274">
        <v>0</v>
      </c>
      <c r="DY80" s="274">
        <v>0</v>
      </c>
      <c r="DZ80" s="274">
        <v>0</v>
      </c>
      <c r="EA80" s="274">
        <v>0</v>
      </c>
      <c r="EB80" s="274">
        <v>0</v>
      </c>
      <c r="EC80" s="274">
        <v>0</v>
      </c>
      <c r="ED80" s="274">
        <v>0</v>
      </c>
      <c r="EE80" s="274">
        <v>0</v>
      </c>
      <c r="EF80" s="274">
        <v>0</v>
      </c>
      <c r="EG80" s="274">
        <v>0</v>
      </c>
      <c r="EH80" s="274">
        <v>0</v>
      </c>
      <c r="EI80" s="274">
        <v>0</v>
      </c>
      <c r="EJ80" s="274">
        <v>0</v>
      </c>
      <c r="EK80" s="274">
        <v>0</v>
      </c>
      <c r="EL80" s="274">
        <v>0</v>
      </c>
      <c r="EM80" s="283" t="s">
        <v>342</v>
      </c>
    </row>
    <row r="81" spans="2:143" ht="10.5" hidden="1">
      <c r="B81" s="30"/>
      <c r="C81" s="41" t="s">
        <v>151</v>
      </c>
      <c r="D81" s="41"/>
      <c r="E81" s="41"/>
      <c r="F81" s="41"/>
      <c r="G81" s="41"/>
      <c r="H81" s="41"/>
      <c r="I81" s="41"/>
      <c r="J81" s="41"/>
      <c r="K81" s="41"/>
      <c r="L81" s="43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273">
        <v>0</v>
      </c>
      <c r="DW81" s="274">
        <v>0</v>
      </c>
      <c r="DX81" s="274">
        <v>0</v>
      </c>
      <c r="DY81" s="274">
        <v>0</v>
      </c>
      <c r="DZ81" s="274">
        <v>0</v>
      </c>
      <c r="EA81" s="274">
        <v>0</v>
      </c>
      <c r="EB81" s="274">
        <v>0</v>
      </c>
      <c r="EC81" s="274">
        <v>0</v>
      </c>
      <c r="ED81" s="274">
        <v>0</v>
      </c>
      <c r="EE81" s="274">
        <v>0</v>
      </c>
      <c r="EF81" s="274">
        <v>0</v>
      </c>
      <c r="EG81" s="274">
        <v>0</v>
      </c>
      <c r="EH81" s="274">
        <v>0</v>
      </c>
      <c r="EI81" s="274">
        <v>0</v>
      </c>
      <c r="EJ81" s="274">
        <v>0</v>
      </c>
      <c r="EK81" s="274">
        <v>0</v>
      </c>
      <c r="EL81" s="274">
        <v>0</v>
      </c>
      <c r="EM81" s="283" t="s">
        <v>342</v>
      </c>
    </row>
    <row r="82" spans="2:143" ht="10.5" hidden="1">
      <c r="B82" s="30"/>
      <c r="C82" s="41" t="s">
        <v>153</v>
      </c>
      <c r="D82" s="41"/>
      <c r="E82" s="41"/>
      <c r="F82" s="41"/>
      <c r="G82" s="41"/>
      <c r="H82" s="41"/>
      <c r="I82" s="41"/>
      <c r="J82" s="41"/>
      <c r="K82" s="41"/>
      <c r="L82" s="43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273">
        <v>0</v>
      </c>
      <c r="DW82" s="274">
        <v>0</v>
      </c>
      <c r="DX82" s="274">
        <v>0</v>
      </c>
      <c r="DY82" s="274">
        <v>0</v>
      </c>
      <c r="DZ82" s="274">
        <v>0</v>
      </c>
      <c r="EA82" s="274">
        <v>0</v>
      </c>
      <c r="EB82" s="274">
        <v>0</v>
      </c>
      <c r="EC82" s="274">
        <v>0</v>
      </c>
      <c r="ED82" s="274">
        <v>0</v>
      </c>
      <c r="EE82" s="274">
        <v>0</v>
      </c>
      <c r="EF82" s="274">
        <v>0</v>
      </c>
      <c r="EG82" s="274">
        <v>0</v>
      </c>
      <c r="EH82" s="274">
        <v>0</v>
      </c>
      <c r="EI82" s="274">
        <v>0</v>
      </c>
      <c r="EJ82" s="274">
        <v>0</v>
      </c>
      <c r="EK82" s="274">
        <v>0</v>
      </c>
      <c r="EL82" s="274">
        <v>0</v>
      </c>
      <c r="EM82" s="283" t="s">
        <v>342</v>
      </c>
    </row>
    <row r="83" spans="2:143" ht="10.5" hidden="1">
      <c r="B83" s="30"/>
      <c r="C83" s="41" t="s">
        <v>155</v>
      </c>
      <c r="D83" s="41"/>
      <c r="E83" s="41"/>
      <c r="F83" s="41"/>
      <c r="G83" s="41"/>
      <c r="H83" s="41"/>
      <c r="I83" s="41"/>
      <c r="J83" s="41"/>
      <c r="K83" s="41"/>
      <c r="L83" s="4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273">
        <v>0</v>
      </c>
      <c r="DW83" s="274">
        <v>0</v>
      </c>
      <c r="DX83" s="274">
        <v>0</v>
      </c>
      <c r="DY83" s="274">
        <v>0</v>
      </c>
      <c r="DZ83" s="274">
        <v>0</v>
      </c>
      <c r="EA83" s="274">
        <v>0</v>
      </c>
      <c r="EB83" s="274">
        <v>0</v>
      </c>
      <c r="EC83" s="274">
        <v>0</v>
      </c>
      <c r="ED83" s="274">
        <v>0</v>
      </c>
      <c r="EE83" s="274">
        <v>0</v>
      </c>
      <c r="EF83" s="274">
        <v>0</v>
      </c>
      <c r="EG83" s="274">
        <v>0</v>
      </c>
      <c r="EH83" s="274">
        <v>0</v>
      </c>
      <c r="EI83" s="274">
        <v>0</v>
      </c>
      <c r="EJ83" s="274">
        <v>0</v>
      </c>
      <c r="EK83" s="274">
        <v>0</v>
      </c>
      <c r="EL83" s="274">
        <v>0</v>
      </c>
      <c r="EM83" s="283" t="s">
        <v>342</v>
      </c>
    </row>
    <row r="84" spans="2:143" ht="10.5" hidden="1">
      <c r="B84" s="30"/>
      <c r="C84" s="41" t="s">
        <v>157</v>
      </c>
      <c r="D84" s="41"/>
      <c r="E84" s="41"/>
      <c r="F84" s="41"/>
      <c r="G84" s="41"/>
      <c r="H84" s="41"/>
      <c r="I84" s="41"/>
      <c r="J84" s="41"/>
      <c r="K84" s="41"/>
      <c r="L84" s="43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273">
        <v>0</v>
      </c>
      <c r="DW84" s="274">
        <v>0</v>
      </c>
      <c r="DX84" s="274">
        <v>0</v>
      </c>
      <c r="DY84" s="274">
        <v>0</v>
      </c>
      <c r="DZ84" s="274">
        <v>0</v>
      </c>
      <c r="EA84" s="274">
        <v>0</v>
      </c>
      <c r="EB84" s="274">
        <v>0</v>
      </c>
      <c r="EC84" s="274">
        <v>0</v>
      </c>
      <c r="ED84" s="274">
        <v>0</v>
      </c>
      <c r="EE84" s="274">
        <v>0</v>
      </c>
      <c r="EF84" s="274">
        <v>0</v>
      </c>
      <c r="EG84" s="274">
        <v>0</v>
      </c>
      <c r="EH84" s="274">
        <v>0</v>
      </c>
      <c r="EI84" s="274">
        <v>0</v>
      </c>
      <c r="EJ84" s="274">
        <v>0</v>
      </c>
      <c r="EK84" s="274">
        <v>0</v>
      </c>
      <c r="EL84" s="274">
        <v>0</v>
      </c>
      <c r="EM84" s="283" t="s">
        <v>342</v>
      </c>
    </row>
    <row r="85" spans="2:143" ht="10.5" hidden="1">
      <c r="B85" s="30"/>
      <c r="C85" s="40" t="s">
        <v>160</v>
      </c>
      <c r="D85" s="40"/>
      <c r="E85" s="40"/>
      <c r="F85" s="40"/>
      <c r="G85" s="40"/>
      <c r="H85" s="40"/>
      <c r="I85" s="40"/>
      <c r="J85" s="40"/>
      <c r="K85" s="40"/>
      <c r="L85" s="42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277">
        <v>0</v>
      </c>
      <c r="DW85" s="278">
        <v>0</v>
      </c>
      <c r="DX85" s="278">
        <v>0</v>
      </c>
      <c r="DY85" s="278">
        <v>0</v>
      </c>
      <c r="DZ85" s="278">
        <v>0</v>
      </c>
      <c r="EA85" s="278">
        <v>0</v>
      </c>
      <c r="EB85" s="278">
        <v>0</v>
      </c>
      <c r="EC85" s="278">
        <v>0</v>
      </c>
      <c r="ED85" s="278">
        <v>0</v>
      </c>
      <c r="EE85" s="278">
        <v>0</v>
      </c>
      <c r="EF85" s="278">
        <v>0</v>
      </c>
      <c r="EG85" s="278">
        <v>1</v>
      </c>
      <c r="EH85" s="278">
        <v>0</v>
      </c>
      <c r="EI85" s="278">
        <v>0</v>
      </c>
      <c r="EJ85" s="278">
        <v>0</v>
      </c>
      <c r="EK85" s="278">
        <v>0</v>
      </c>
      <c r="EL85" s="278">
        <v>0</v>
      </c>
      <c r="EM85" s="294" t="s">
        <v>342</v>
      </c>
    </row>
    <row r="86" spans="1:143" ht="10.5" hidden="1">
      <c r="A86" s="49" t="s">
        <v>396</v>
      </c>
      <c r="B86" s="40">
        <v>11</v>
      </c>
      <c r="C86" s="41" t="s">
        <v>145</v>
      </c>
      <c r="D86" s="41"/>
      <c r="E86" s="41"/>
      <c r="F86" s="41"/>
      <c r="G86" s="41"/>
      <c r="H86" s="41"/>
      <c r="I86" s="41"/>
      <c r="J86" s="41"/>
      <c r="K86" s="41"/>
      <c r="L86" s="43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271">
        <v>0</v>
      </c>
      <c r="DW86" s="272">
        <v>0</v>
      </c>
      <c r="DX86" s="272">
        <v>0</v>
      </c>
      <c r="DY86" s="272">
        <v>0</v>
      </c>
      <c r="DZ86" s="272">
        <v>0</v>
      </c>
      <c r="EA86" s="272">
        <v>0</v>
      </c>
      <c r="EB86" s="272">
        <v>0</v>
      </c>
      <c r="EC86" s="272">
        <v>0</v>
      </c>
      <c r="ED86" s="272">
        <v>0</v>
      </c>
      <c r="EE86" s="272">
        <v>0</v>
      </c>
      <c r="EF86" s="272">
        <v>0</v>
      </c>
      <c r="EG86" s="272">
        <v>0</v>
      </c>
      <c r="EH86" s="272">
        <v>1</v>
      </c>
      <c r="EI86" s="272">
        <v>0</v>
      </c>
      <c r="EJ86" s="272">
        <v>0</v>
      </c>
      <c r="EK86" s="272">
        <v>0</v>
      </c>
      <c r="EL86" s="272">
        <v>0</v>
      </c>
      <c r="EM86" s="286" t="s">
        <v>342</v>
      </c>
    </row>
    <row r="87" spans="2:143" ht="10.5" hidden="1">
      <c r="B87" s="30"/>
      <c r="C87" s="41" t="s">
        <v>147</v>
      </c>
      <c r="D87" s="41"/>
      <c r="E87" s="41"/>
      <c r="F87" s="41"/>
      <c r="G87" s="41"/>
      <c r="H87" s="41"/>
      <c r="I87" s="41"/>
      <c r="J87" s="41"/>
      <c r="K87" s="41"/>
      <c r="L87" s="43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273">
        <v>0</v>
      </c>
      <c r="DW87" s="274">
        <v>0</v>
      </c>
      <c r="DX87" s="274">
        <v>0</v>
      </c>
      <c r="DY87" s="274">
        <v>0</v>
      </c>
      <c r="DZ87" s="274">
        <v>0</v>
      </c>
      <c r="EA87" s="274">
        <v>0</v>
      </c>
      <c r="EB87" s="274">
        <v>0</v>
      </c>
      <c r="EC87" s="274">
        <v>0</v>
      </c>
      <c r="ED87" s="274">
        <v>0</v>
      </c>
      <c r="EE87" s="274">
        <v>0</v>
      </c>
      <c r="EF87" s="274">
        <v>0</v>
      </c>
      <c r="EG87" s="274">
        <v>0</v>
      </c>
      <c r="EH87" s="274">
        <v>0</v>
      </c>
      <c r="EI87" s="274">
        <v>0</v>
      </c>
      <c r="EJ87" s="274">
        <v>0</v>
      </c>
      <c r="EK87" s="274">
        <v>0</v>
      </c>
      <c r="EL87" s="274">
        <v>0</v>
      </c>
      <c r="EM87" s="283" t="s">
        <v>342</v>
      </c>
    </row>
    <row r="88" spans="2:143" ht="10.5" hidden="1">
      <c r="B88" s="30"/>
      <c r="C88" s="41" t="s">
        <v>149</v>
      </c>
      <c r="D88" s="41"/>
      <c r="E88" s="41"/>
      <c r="F88" s="41"/>
      <c r="G88" s="41"/>
      <c r="H88" s="41"/>
      <c r="I88" s="41"/>
      <c r="J88" s="41"/>
      <c r="K88" s="41"/>
      <c r="L88" s="43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273">
        <v>0</v>
      </c>
      <c r="DW88" s="274">
        <v>0</v>
      </c>
      <c r="DX88" s="274">
        <v>0</v>
      </c>
      <c r="DY88" s="274">
        <v>0</v>
      </c>
      <c r="DZ88" s="274">
        <v>0</v>
      </c>
      <c r="EA88" s="274">
        <v>0</v>
      </c>
      <c r="EB88" s="274">
        <v>0</v>
      </c>
      <c r="EC88" s="274">
        <v>0</v>
      </c>
      <c r="ED88" s="274">
        <v>0</v>
      </c>
      <c r="EE88" s="274">
        <v>0</v>
      </c>
      <c r="EF88" s="274">
        <v>0</v>
      </c>
      <c r="EG88" s="274">
        <v>0</v>
      </c>
      <c r="EH88" s="274">
        <v>0</v>
      </c>
      <c r="EI88" s="274">
        <v>0</v>
      </c>
      <c r="EJ88" s="274">
        <v>0</v>
      </c>
      <c r="EK88" s="274">
        <v>0</v>
      </c>
      <c r="EL88" s="274">
        <v>0</v>
      </c>
      <c r="EM88" s="283" t="s">
        <v>342</v>
      </c>
    </row>
    <row r="89" spans="2:143" ht="10.5" hidden="1">
      <c r="B89" s="30"/>
      <c r="C89" s="41" t="s">
        <v>151</v>
      </c>
      <c r="D89" s="41"/>
      <c r="E89" s="41"/>
      <c r="F89" s="41"/>
      <c r="G89" s="41"/>
      <c r="H89" s="41"/>
      <c r="I89" s="41"/>
      <c r="J89" s="41"/>
      <c r="K89" s="41"/>
      <c r="L89" s="43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273">
        <v>0</v>
      </c>
      <c r="DW89" s="274">
        <v>0</v>
      </c>
      <c r="DX89" s="274">
        <v>0</v>
      </c>
      <c r="DY89" s="274">
        <v>0</v>
      </c>
      <c r="DZ89" s="274">
        <v>0</v>
      </c>
      <c r="EA89" s="274">
        <v>0</v>
      </c>
      <c r="EB89" s="274">
        <v>0</v>
      </c>
      <c r="EC89" s="274">
        <v>0</v>
      </c>
      <c r="ED89" s="274">
        <v>0</v>
      </c>
      <c r="EE89" s="274">
        <v>0</v>
      </c>
      <c r="EF89" s="274">
        <v>0</v>
      </c>
      <c r="EG89" s="274">
        <v>0</v>
      </c>
      <c r="EH89" s="274">
        <v>0</v>
      </c>
      <c r="EI89" s="274">
        <v>0</v>
      </c>
      <c r="EJ89" s="274">
        <v>0</v>
      </c>
      <c r="EK89" s="274">
        <v>0</v>
      </c>
      <c r="EL89" s="274">
        <v>0</v>
      </c>
      <c r="EM89" s="283" t="s">
        <v>342</v>
      </c>
    </row>
    <row r="90" spans="2:143" ht="10.5" hidden="1">
      <c r="B90" s="30"/>
      <c r="C90" s="41" t="s">
        <v>153</v>
      </c>
      <c r="D90" s="41"/>
      <c r="E90" s="41"/>
      <c r="F90" s="41"/>
      <c r="G90" s="41"/>
      <c r="H90" s="41"/>
      <c r="I90" s="41"/>
      <c r="J90" s="41"/>
      <c r="K90" s="41"/>
      <c r="L90" s="43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273">
        <v>0</v>
      </c>
      <c r="DW90" s="274">
        <v>0</v>
      </c>
      <c r="DX90" s="274">
        <v>0</v>
      </c>
      <c r="DY90" s="274">
        <v>0</v>
      </c>
      <c r="DZ90" s="274">
        <v>0</v>
      </c>
      <c r="EA90" s="274">
        <v>0</v>
      </c>
      <c r="EB90" s="274">
        <v>0</v>
      </c>
      <c r="EC90" s="274">
        <v>0</v>
      </c>
      <c r="ED90" s="274">
        <v>0</v>
      </c>
      <c r="EE90" s="274">
        <v>0</v>
      </c>
      <c r="EF90" s="274">
        <v>0</v>
      </c>
      <c r="EG90" s="274">
        <v>0</v>
      </c>
      <c r="EH90" s="274">
        <v>0</v>
      </c>
      <c r="EI90" s="274">
        <v>0</v>
      </c>
      <c r="EJ90" s="274">
        <v>0</v>
      </c>
      <c r="EK90" s="274">
        <v>0</v>
      </c>
      <c r="EL90" s="274">
        <v>0</v>
      </c>
      <c r="EM90" s="283" t="s">
        <v>342</v>
      </c>
    </row>
    <row r="91" spans="2:143" ht="10.5" hidden="1">
      <c r="B91" s="30"/>
      <c r="C91" s="41" t="s">
        <v>155</v>
      </c>
      <c r="D91" s="41"/>
      <c r="E91" s="41"/>
      <c r="F91" s="41"/>
      <c r="G91" s="41"/>
      <c r="H91" s="41"/>
      <c r="I91" s="41"/>
      <c r="J91" s="41"/>
      <c r="K91" s="41"/>
      <c r="L91" s="43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273">
        <v>0</v>
      </c>
      <c r="DW91" s="274">
        <v>0</v>
      </c>
      <c r="DX91" s="274">
        <v>0</v>
      </c>
      <c r="DY91" s="274">
        <v>0</v>
      </c>
      <c r="DZ91" s="274">
        <v>0</v>
      </c>
      <c r="EA91" s="274">
        <v>0</v>
      </c>
      <c r="EB91" s="274">
        <v>0</v>
      </c>
      <c r="EC91" s="274">
        <v>0</v>
      </c>
      <c r="ED91" s="274">
        <v>0</v>
      </c>
      <c r="EE91" s="274">
        <v>0</v>
      </c>
      <c r="EF91" s="274">
        <v>0</v>
      </c>
      <c r="EG91" s="274">
        <v>0</v>
      </c>
      <c r="EH91" s="274">
        <v>0</v>
      </c>
      <c r="EI91" s="274">
        <v>0</v>
      </c>
      <c r="EJ91" s="274">
        <v>0</v>
      </c>
      <c r="EK91" s="274">
        <v>0</v>
      </c>
      <c r="EL91" s="274">
        <v>0</v>
      </c>
      <c r="EM91" s="283" t="s">
        <v>342</v>
      </c>
    </row>
    <row r="92" spans="2:143" ht="10.5" hidden="1">
      <c r="B92" s="30"/>
      <c r="C92" s="41" t="s">
        <v>157</v>
      </c>
      <c r="D92" s="41"/>
      <c r="E92" s="41"/>
      <c r="F92" s="41"/>
      <c r="G92" s="41"/>
      <c r="H92" s="41"/>
      <c r="I92" s="41"/>
      <c r="J92" s="41"/>
      <c r="K92" s="41"/>
      <c r="L92" s="43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273">
        <v>0</v>
      </c>
      <c r="DW92" s="274">
        <v>0</v>
      </c>
      <c r="DX92" s="274">
        <v>0</v>
      </c>
      <c r="DY92" s="274">
        <v>0</v>
      </c>
      <c r="DZ92" s="274">
        <v>0</v>
      </c>
      <c r="EA92" s="274">
        <v>0</v>
      </c>
      <c r="EB92" s="274">
        <v>0</v>
      </c>
      <c r="EC92" s="274">
        <v>0</v>
      </c>
      <c r="ED92" s="274">
        <v>0</v>
      </c>
      <c r="EE92" s="274">
        <v>0</v>
      </c>
      <c r="EF92" s="274">
        <v>0</v>
      </c>
      <c r="EG92" s="274">
        <v>0</v>
      </c>
      <c r="EH92" s="274">
        <v>0</v>
      </c>
      <c r="EI92" s="274">
        <v>0</v>
      </c>
      <c r="EJ92" s="274">
        <v>0</v>
      </c>
      <c r="EK92" s="274">
        <v>0</v>
      </c>
      <c r="EL92" s="274">
        <v>0</v>
      </c>
      <c r="EM92" s="283" t="s">
        <v>342</v>
      </c>
    </row>
    <row r="93" spans="2:143" ht="10.5" hidden="1">
      <c r="B93" s="30"/>
      <c r="C93" s="40" t="s">
        <v>160</v>
      </c>
      <c r="D93" s="40"/>
      <c r="E93" s="40"/>
      <c r="F93" s="40"/>
      <c r="G93" s="40"/>
      <c r="H93" s="40"/>
      <c r="I93" s="40"/>
      <c r="J93" s="40"/>
      <c r="K93" s="40"/>
      <c r="L93" s="42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277">
        <v>0</v>
      </c>
      <c r="DW93" s="278">
        <v>0</v>
      </c>
      <c r="DX93" s="278">
        <v>0</v>
      </c>
      <c r="DY93" s="278">
        <v>0</v>
      </c>
      <c r="DZ93" s="278">
        <v>0</v>
      </c>
      <c r="EA93" s="278">
        <v>0</v>
      </c>
      <c r="EB93" s="278">
        <v>0</v>
      </c>
      <c r="EC93" s="278">
        <v>0</v>
      </c>
      <c r="ED93" s="278">
        <v>0</v>
      </c>
      <c r="EE93" s="278">
        <v>0</v>
      </c>
      <c r="EF93" s="278">
        <v>0</v>
      </c>
      <c r="EG93" s="278">
        <v>0</v>
      </c>
      <c r="EH93" s="278">
        <v>1</v>
      </c>
      <c r="EI93" s="278">
        <v>0</v>
      </c>
      <c r="EJ93" s="278">
        <v>0</v>
      </c>
      <c r="EK93" s="278">
        <v>0</v>
      </c>
      <c r="EL93" s="278">
        <v>0</v>
      </c>
      <c r="EM93" s="294" t="s">
        <v>342</v>
      </c>
    </row>
    <row r="94" spans="1:143" ht="10.5" hidden="1">
      <c r="A94" s="49" t="s">
        <v>397</v>
      </c>
      <c r="B94" s="40">
        <v>12</v>
      </c>
      <c r="C94" s="41" t="s">
        <v>145</v>
      </c>
      <c r="D94" s="41"/>
      <c r="E94" s="41"/>
      <c r="F94" s="41"/>
      <c r="G94" s="41"/>
      <c r="H94" s="41"/>
      <c r="I94" s="41"/>
      <c r="J94" s="41"/>
      <c r="K94" s="41"/>
      <c r="L94" s="43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271">
        <v>0</v>
      </c>
      <c r="DW94" s="272">
        <v>0</v>
      </c>
      <c r="DX94" s="272">
        <v>0</v>
      </c>
      <c r="DY94" s="272">
        <v>0</v>
      </c>
      <c r="DZ94" s="272">
        <v>0</v>
      </c>
      <c r="EA94" s="272">
        <v>0</v>
      </c>
      <c r="EB94" s="272">
        <v>0</v>
      </c>
      <c r="EC94" s="272">
        <v>0</v>
      </c>
      <c r="ED94" s="272">
        <v>0</v>
      </c>
      <c r="EE94" s="272">
        <v>0</v>
      </c>
      <c r="EF94" s="272">
        <v>0</v>
      </c>
      <c r="EG94" s="272">
        <v>0</v>
      </c>
      <c r="EH94" s="272">
        <v>0</v>
      </c>
      <c r="EI94" s="272">
        <v>1</v>
      </c>
      <c r="EJ94" s="272">
        <v>0</v>
      </c>
      <c r="EK94" s="272">
        <v>0</v>
      </c>
      <c r="EL94" s="272">
        <v>0</v>
      </c>
      <c r="EM94" s="286" t="s">
        <v>342</v>
      </c>
    </row>
    <row r="95" spans="2:143" ht="10.5" hidden="1">
      <c r="B95" s="30"/>
      <c r="C95" s="41" t="s">
        <v>147</v>
      </c>
      <c r="D95" s="41"/>
      <c r="E95" s="41"/>
      <c r="F95" s="41"/>
      <c r="G95" s="41"/>
      <c r="H95" s="41"/>
      <c r="I95" s="41"/>
      <c r="J95" s="41"/>
      <c r="K95" s="41"/>
      <c r="L95" s="43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273">
        <v>0</v>
      </c>
      <c r="DW95" s="274">
        <v>0</v>
      </c>
      <c r="DX95" s="274">
        <v>0</v>
      </c>
      <c r="DY95" s="274">
        <v>0</v>
      </c>
      <c r="DZ95" s="274">
        <v>0</v>
      </c>
      <c r="EA95" s="274">
        <v>0</v>
      </c>
      <c r="EB95" s="274">
        <v>0</v>
      </c>
      <c r="EC95" s="274">
        <v>0</v>
      </c>
      <c r="ED95" s="274">
        <v>0</v>
      </c>
      <c r="EE95" s="274">
        <v>0</v>
      </c>
      <c r="EF95" s="274">
        <v>0</v>
      </c>
      <c r="EG95" s="274">
        <v>0</v>
      </c>
      <c r="EH95" s="274">
        <v>0</v>
      </c>
      <c r="EI95" s="274">
        <v>0</v>
      </c>
      <c r="EJ95" s="274">
        <v>0</v>
      </c>
      <c r="EK95" s="274">
        <v>0</v>
      </c>
      <c r="EL95" s="274">
        <v>0</v>
      </c>
      <c r="EM95" s="283" t="s">
        <v>342</v>
      </c>
    </row>
    <row r="96" spans="2:143" ht="10.5" hidden="1">
      <c r="B96" s="30"/>
      <c r="C96" s="41" t="s">
        <v>149</v>
      </c>
      <c r="D96" s="41"/>
      <c r="E96" s="41"/>
      <c r="F96" s="41"/>
      <c r="G96" s="41"/>
      <c r="H96" s="41"/>
      <c r="I96" s="41"/>
      <c r="J96" s="41"/>
      <c r="K96" s="41"/>
      <c r="L96" s="43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273">
        <v>0</v>
      </c>
      <c r="DW96" s="274">
        <v>0</v>
      </c>
      <c r="DX96" s="274">
        <v>0</v>
      </c>
      <c r="DY96" s="274">
        <v>0</v>
      </c>
      <c r="DZ96" s="274">
        <v>0</v>
      </c>
      <c r="EA96" s="274">
        <v>0</v>
      </c>
      <c r="EB96" s="274">
        <v>0</v>
      </c>
      <c r="EC96" s="274">
        <v>0</v>
      </c>
      <c r="ED96" s="274">
        <v>0</v>
      </c>
      <c r="EE96" s="274">
        <v>0</v>
      </c>
      <c r="EF96" s="274">
        <v>0</v>
      </c>
      <c r="EG96" s="274">
        <v>0</v>
      </c>
      <c r="EH96" s="274">
        <v>0</v>
      </c>
      <c r="EI96" s="274">
        <v>0</v>
      </c>
      <c r="EJ96" s="274">
        <v>0</v>
      </c>
      <c r="EK96" s="274">
        <v>0</v>
      </c>
      <c r="EL96" s="274">
        <v>0</v>
      </c>
      <c r="EM96" s="283" t="s">
        <v>342</v>
      </c>
    </row>
    <row r="97" spans="2:143" ht="10.5" hidden="1">
      <c r="B97" s="30"/>
      <c r="C97" s="41" t="s">
        <v>151</v>
      </c>
      <c r="D97" s="41"/>
      <c r="E97" s="41"/>
      <c r="F97" s="41"/>
      <c r="G97" s="41"/>
      <c r="H97" s="41"/>
      <c r="I97" s="41"/>
      <c r="J97" s="41"/>
      <c r="K97" s="41"/>
      <c r="L97" s="43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273">
        <v>0</v>
      </c>
      <c r="DW97" s="274">
        <v>0</v>
      </c>
      <c r="DX97" s="274">
        <v>0</v>
      </c>
      <c r="DY97" s="274">
        <v>0</v>
      </c>
      <c r="DZ97" s="274">
        <v>0</v>
      </c>
      <c r="EA97" s="274">
        <v>0</v>
      </c>
      <c r="EB97" s="274">
        <v>0</v>
      </c>
      <c r="EC97" s="274">
        <v>0</v>
      </c>
      <c r="ED97" s="274">
        <v>0</v>
      </c>
      <c r="EE97" s="274">
        <v>0</v>
      </c>
      <c r="EF97" s="274">
        <v>0</v>
      </c>
      <c r="EG97" s="274">
        <v>0</v>
      </c>
      <c r="EH97" s="274">
        <v>0</v>
      </c>
      <c r="EI97" s="274">
        <v>0</v>
      </c>
      <c r="EJ97" s="274">
        <v>0</v>
      </c>
      <c r="EK97" s="274">
        <v>0</v>
      </c>
      <c r="EL97" s="274">
        <v>0</v>
      </c>
      <c r="EM97" s="283" t="s">
        <v>342</v>
      </c>
    </row>
    <row r="98" spans="2:143" ht="10.5" hidden="1">
      <c r="B98" s="30"/>
      <c r="C98" s="41" t="s">
        <v>153</v>
      </c>
      <c r="D98" s="41"/>
      <c r="E98" s="41"/>
      <c r="F98" s="41"/>
      <c r="G98" s="41"/>
      <c r="H98" s="41"/>
      <c r="I98" s="41"/>
      <c r="J98" s="41"/>
      <c r="K98" s="41"/>
      <c r="L98" s="43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273">
        <v>0</v>
      </c>
      <c r="DW98" s="274">
        <v>0</v>
      </c>
      <c r="DX98" s="274">
        <v>0</v>
      </c>
      <c r="DY98" s="274">
        <v>0</v>
      </c>
      <c r="DZ98" s="274">
        <v>0</v>
      </c>
      <c r="EA98" s="274">
        <v>0</v>
      </c>
      <c r="EB98" s="274">
        <v>0</v>
      </c>
      <c r="EC98" s="274">
        <v>0</v>
      </c>
      <c r="ED98" s="274">
        <v>0</v>
      </c>
      <c r="EE98" s="274">
        <v>0</v>
      </c>
      <c r="EF98" s="274">
        <v>0</v>
      </c>
      <c r="EG98" s="274">
        <v>0</v>
      </c>
      <c r="EH98" s="274">
        <v>0</v>
      </c>
      <c r="EI98" s="274">
        <v>0</v>
      </c>
      <c r="EJ98" s="274">
        <v>0</v>
      </c>
      <c r="EK98" s="274">
        <v>0</v>
      </c>
      <c r="EL98" s="274">
        <v>0</v>
      </c>
      <c r="EM98" s="283" t="s">
        <v>342</v>
      </c>
    </row>
    <row r="99" spans="2:143" ht="10.5" hidden="1">
      <c r="B99" s="30"/>
      <c r="C99" s="41" t="s">
        <v>155</v>
      </c>
      <c r="D99" s="41"/>
      <c r="E99" s="41"/>
      <c r="F99" s="41"/>
      <c r="G99" s="41"/>
      <c r="H99" s="41"/>
      <c r="I99" s="41"/>
      <c r="J99" s="41"/>
      <c r="K99" s="41"/>
      <c r="L99" s="43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273">
        <v>0</v>
      </c>
      <c r="DW99" s="274">
        <v>0</v>
      </c>
      <c r="DX99" s="274">
        <v>0</v>
      </c>
      <c r="DY99" s="274">
        <v>0</v>
      </c>
      <c r="DZ99" s="274">
        <v>0</v>
      </c>
      <c r="EA99" s="274">
        <v>0</v>
      </c>
      <c r="EB99" s="274">
        <v>0</v>
      </c>
      <c r="EC99" s="274">
        <v>0</v>
      </c>
      <c r="ED99" s="274">
        <v>0</v>
      </c>
      <c r="EE99" s="274">
        <v>0</v>
      </c>
      <c r="EF99" s="274">
        <v>0</v>
      </c>
      <c r="EG99" s="274">
        <v>0</v>
      </c>
      <c r="EH99" s="274">
        <v>0</v>
      </c>
      <c r="EI99" s="274">
        <v>0</v>
      </c>
      <c r="EJ99" s="274">
        <v>0</v>
      </c>
      <c r="EK99" s="274">
        <v>0</v>
      </c>
      <c r="EL99" s="274">
        <v>0</v>
      </c>
      <c r="EM99" s="283" t="s">
        <v>342</v>
      </c>
    </row>
    <row r="100" spans="2:143" ht="10.5" hidden="1">
      <c r="B100" s="30"/>
      <c r="C100" s="41" t="s">
        <v>157</v>
      </c>
      <c r="D100" s="41"/>
      <c r="E100" s="41"/>
      <c r="F100" s="41"/>
      <c r="G100" s="41"/>
      <c r="H100" s="41"/>
      <c r="I100" s="41"/>
      <c r="J100" s="41"/>
      <c r="K100" s="41"/>
      <c r="L100" s="43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273">
        <v>0</v>
      </c>
      <c r="DW100" s="274">
        <v>0</v>
      </c>
      <c r="DX100" s="274">
        <v>0</v>
      </c>
      <c r="DY100" s="274">
        <v>0</v>
      </c>
      <c r="DZ100" s="274">
        <v>0</v>
      </c>
      <c r="EA100" s="274">
        <v>0</v>
      </c>
      <c r="EB100" s="274">
        <v>0</v>
      </c>
      <c r="EC100" s="274">
        <v>0</v>
      </c>
      <c r="ED100" s="274">
        <v>0</v>
      </c>
      <c r="EE100" s="274">
        <v>0</v>
      </c>
      <c r="EF100" s="274">
        <v>0</v>
      </c>
      <c r="EG100" s="274">
        <v>0</v>
      </c>
      <c r="EH100" s="274">
        <v>0</v>
      </c>
      <c r="EI100" s="274">
        <v>0</v>
      </c>
      <c r="EJ100" s="274">
        <v>0</v>
      </c>
      <c r="EK100" s="274">
        <v>0</v>
      </c>
      <c r="EL100" s="274">
        <v>0</v>
      </c>
      <c r="EM100" s="283" t="s">
        <v>342</v>
      </c>
    </row>
    <row r="101" spans="2:143" ht="10.5" hidden="1">
      <c r="B101" s="30"/>
      <c r="C101" s="40" t="s">
        <v>160</v>
      </c>
      <c r="D101" s="40"/>
      <c r="E101" s="40"/>
      <c r="F101" s="40"/>
      <c r="G101" s="40"/>
      <c r="H101" s="40"/>
      <c r="I101" s="40"/>
      <c r="J101" s="40"/>
      <c r="K101" s="40"/>
      <c r="L101" s="42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277">
        <v>0</v>
      </c>
      <c r="DW101" s="278">
        <v>0</v>
      </c>
      <c r="DX101" s="278">
        <v>0</v>
      </c>
      <c r="DY101" s="278">
        <v>0</v>
      </c>
      <c r="DZ101" s="278">
        <v>0</v>
      </c>
      <c r="EA101" s="278">
        <v>0</v>
      </c>
      <c r="EB101" s="278">
        <v>0</v>
      </c>
      <c r="EC101" s="278">
        <v>0</v>
      </c>
      <c r="ED101" s="278">
        <v>0</v>
      </c>
      <c r="EE101" s="278">
        <v>0</v>
      </c>
      <c r="EF101" s="278">
        <v>0</v>
      </c>
      <c r="EG101" s="278">
        <v>0</v>
      </c>
      <c r="EH101" s="278">
        <v>0</v>
      </c>
      <c r="EI101" s="278">
        <v>1</v>
      </c>
      <c r="EJ101" s="278">
        <v>0</v>
      </c>
      <c r="EK101" s="278">
        <v>0</v>
      </c>
      <c r="EL101" s="278">
        <v>0</v>
      </c>
      <c r="EM101" s="294" t="s">
        <v>342</v>
      </c>
    </row>
    <row r="102" spans="1:143" ht="10.5" hidden="1">
      <c r="A102" s="49" t="s">
        <v>399</v>
      </c>
      <c r="B102" s="40">
        <v>13</v>
      </c>
      <c r="C102" s="41" t="s">
        <v>145</v>
      </c>
      <c r="D102" s="41"/>
      <c r="E102" s="41"/>
      <c r="F102" s="41"/>
      <c r="G102" s="41"/>
      <c r="H102" s="41"/>
      <c r="I102" s="41"/>
      <c r="J102" s="41"/>
      <c r="K102" s="41"/>
      <c r="L102" s="43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271">
        <v>0</v>
      </c>
      <c r="DW102" s="272">
        <v>0</v>
      </c>
      <c r="DX102" s="272">
        <v>0</v>
      </c>
      <c r="DY102" s="272">
        <v>0</v>
      </c>
      <c r="DZ102" s="272">
        <v>0</v>
      </c>
      <c r="EA102" s="272">
        <v>0</v>
      </c>
      <c r="EB102" s="272">
        <v>0</v>
      </c>
      <c r="EC102" s="272">
        <v>0</v>
      </c>
      <c r="ED102" s="272">
        <v>0</v>
      </c>
      <c r="EE102" s="272">
        <v>0</v>
      </c>
      <c r="EF102" s="272">
        <v>0</v>
      </c>
      <c r="EG102" s="272">
        <v>0</v>
      </c>
      <c r="EH102" s="272">
        <v>0</v>
      </c>
      <c r="EI102" s="272">
        <v>0</v>
      </c>
      <c r="EJ102" s="272">
        <v>1</v>
      </c>
      <c r="EK102" s="272">
        <v>0</v>
      </c>
      <c r="EL102" s="272">
        <v>0</v>
      </c>
      <c r="EM102" s="286" t="s">
        <v>342</v>
      </c>
    </row>
    <row r="103" spans="2:143" ht="10.5" hidden="1">
      <c r="B103" s="30"/>
      <c r="C103" s="41" t="s">
        <v>147</v>
      </c>
      <c r="D103" s="41"/>
      <c r="E103" s="41"/>
      <c r="F103" s="41"/>
      <c r="G103" s="41"/>
      <c r="H103" s="41"/>
      <c r="I103" s="41"/>
      <c r="J103" s="41"/>
      <c r="K103" s="41"/>
      <c r="L103" s="43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273">
        <v>0</v>
      </c>
      <c r="DW103" s="274">
        <v>0</v>
      </c>
      <c r="DX103" s="274">
        <v>0</v>
      </c>
      <c r="DY103" s="274">
        <v>0</v>
      </c>
      <c r="DZ103" s="274">
        <v>0</v>
      </c>
      <c r="EA103" s="274">
        <v>0</v>
      </c>
      <c r="EB103" s="274">
        <v>0</v>
      </c>
      <c r="EC103" s="274">
        <v>0</v>
      </c>
      <c r="ED103" s="274">
        <v>0</v>
      </c>
      <c r="EE103" s="274">
        <v>0</v>
      </c>
      <c r="EF103" s="274">
        <v>0</v>
      </c>
      <c r="EG103" s="274">
        <v>0</v>
      </c>
      <c r="EH103" s="274">
        <v>0</v>
      </c>
      <c r="EI103" s="274">
        <v>0</v>
      </c>
      <c r="EJ103" s="274">
        <v>0</v>
      </c>
      <c r="EK103" s="274">
        <v>0</v>
      </c>
      <c r="EL103" s="274">
        <v>0</v>
      </c>
      <c r="EM103" s="283" t="s">
        <v>342</v>
      </c>
    </row>
    <row r="104" spans="2:143" ht="10.5" hidden="1">
      <c r="B104" s="30"/>
      <c r="C104" s="41" t="s">
        <v>149</v>
      </c>
      <c r="D104" s="41"/>
      <c r="E104" s="41"/>
      <c r="F104" s="41"/>
      <c r="G104" s="41"/>
      <c r="H104" s="41"/>
      <c r="I104" s="41"/>
      <c r="J104" s="41"/>
      <c r="K104" s="41"/>
      <c r="L104" s="43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273">
        <v>0</v>
      </c>
      <c r="DW104" s="274">
        <v>0</v>
      </c>
      <c r="DX104" s="274">
        <v>0</v>
      </c>
      <c r="DY104" s="274">
        <v>0</v>
      </c>
      <c r="DZ104" s="274">
        <v>0</v>
      </c>
      <c r="EA104" s="274">
        <v>0</v>
      </c>
      <c r="EB104" s="274">
        <v>0</v>
      </c>
      <c r="EC104" s="274">
        <v>0</v>
      </c>
      <c r="ED104" s="274">
        <v>0</v>
      </c>
      <c r="EE104" s="274">
        <v>0</v>
      </c>
      <c r="EF104" s="274">
        <v>0</v>
      </c>
      <c r="EG104" s="274">
        <v>0</v>
      </c>
      <c r="EH104" s="274">
        <v>0</v>
      </c>
      <c r="EI104" s="274">
        <v>0</v>
      </c>
      <c r="EJ104" s="274">
        <v>0</v>
      </c>
      <c r="EK104" s="274">
        <v>0</v>
      </c>
      <c r="EL104" s="274">
        <v>0</v>
      </c>
      <c r="EM104" s="283" t="s">
        <v>342</v>
      </c>
    </row>
    <row r="105" spans="2:143" ht="10.5" hidden="1">
      <c r="B105" s="30"/>
      <c r="C105" s="41" t="s">
        <v>151</v>
      </c>
      <c r="D105" s="41"/>
      <c r="E105" s="41"/>
      <c r="F105" s="41"/>
      <c r="G105" s="41"/>
      <c r="H105" s="41"/>
      <c r="I105" s="41"/>
      <c r="J105" s="41"/>
      <c r="K105" s="41"/>
      <c r="L105" s="43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273">
        <v>0</v>
      </c>
      <c r="DW105" s="274">
        <v>0</v>
      </c>
      <c r="DX105" s="274">
        <v>0</v>
      </c>
      <c r="DY105" s="274">
        <v>0</v>
      </c>
      <c r="DZ105" s="274">
        <v>0</v>
      </c>
      <c r="EA105" s="274">
        <v>0</v>
      </c>
      <c r="EB105" s="274">
        <v>0</v>
      </c>
      <c r="EC105" s="274">
        <v>0</v>
      </c>
      <c r="ED105" s="274">
        <v>0</v>
      </c>
      <c r="EE105" s="274">
        <v>0</v>
      </c>
      <c r="EF105" s="274">
        <v>0</v>
      </c>
      <c r="EG105" s="274">
        <v>0</v>
      </c>
      <c r="EH105" s="274">
        <v>0</v>
      </c>
      <c r="EI105" s="274">
        <v>0</v>
      </c>
      <c r="EJ105" s="274">
        <v>0</v>
      </c>
      <c r="EK105" s="274">
        <v>0</v>
      </c>
      <c r="EL105" s="274">
        <v>0</v>
      </c>
      <c r="EM105" s="283" t="s">
        <v>342</v>
      </c>
    </row>
    <row r="106" spans="2:143" ht="10.5" hidden="1">
      <c r="B106" s="30"/>
      <c r="C106" s="41" t="s">
        <v>153</v>
      </c>
      <c r="D106" s="41"/>
      <c r="E106" s="41"/>
      <c r="F106" s="41"/>
      <c r="G106" s="41"/>
      <c r="H106" s="41"/>
      <c r="I106" s="41"/>
      <c r="J106" s="41"/>
      <c r="K106" s="41"/>
      <c r="L106" s="43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273">
        <v>0</v>
      </c>
      <c r="DW106" s="274">
        <v>0</v>
      </c>
      <c r="DX106" s="274">
        <v>0</v>
      </c>
      <c r="DY106" s="274">
        <v>0</v>
      </c>
      <c r="DZ106" s="274">
        <v>0</v>
      </c>
      <c r="EA106" s="274">
        <v>0</v>
      </c>
      <c r="EB106" s="274">
        <v>0</v>
      </c>
      <c r="EC106" s="274">
        <v>0</v>
      </c>
      <c r="ED106" s="274">
        <v>0</v>
      </c>
      <c r="EE106" s="274">
        <v>0</v>
      </c>
      <c r="EF106" s="274">
        <v>0</v>
      </c>
      <c r="EG106" s="274">
        <v>0</v>
      </c>
      <c r="EH106" s="274">
        <v>0</v>
      </c>
      <c r="EI106" s="274">
        <v>0</v>
      </c>
      <c r="EJ106" s="274">
        <v>0</v>
      </c>
      <c r="EK106" s="274">
        <v>0</v>
      </c>
      <c r="EL106" s="274">
        <v>0</v>
      </c>
      <c r="EM106" s="283" t="s">
        <v>342</v>
      </c>
    </row>
    <row r="107" spans="2:143" ht="10.5" hidden="1">
      <c r="B107" s="30"/>
      <c r="C107" s="41" t="s">
        <v>155</v>
      </c>
      <c r="D107" s="41"/>
      <c r="E107" s="41"/>
      <c r="F107" s="41"/>
      <c r="G107" s="41"/>
      <c r="H107" s="41"/>
      <c r="I107" s="41"/>
      <c r="J107" s="41"/>
      <c r="K107" s="41"/>
      <c r="L107" s="43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273">
        <v>0</v>
      </c>
      <c r="DW107" s="274">
        <v>0</v>
      </c>
      <c r="DX107" s="274">
        <v>0</v>
      </c>
      <c r="DY107" s="274">
        <v>0</v>
      </c>
      <c r="DZ107" s="274">
        <v>0</v>
      </c>
      <c r="EA107" s="274">
        <v>0</v>
      </c>
      <c r="EB107" s="274">
        <v>0</v>
      </c>
      <c r="EC107" s="274">
        <v>0</v>
      </c>
      <c r="ED107" s="274">
        <v>0</v>
      </c>
      <c r="EE107" s="274">
        <v>0</v>
      </c>
      <c r="EF107" s="274">
        <v>0</v>
      </c>
      <c r="EG107" s="274">
        <v>0</v>
      </c>
      <c r="EH107" s="274">
        <v>0</v>
      </c>
      <c r="EI107" s="274">
        <v>0</v>
      </c>
      <c r="EJ107" s="274">
        <v>0</v>
      </c>
      <c r="EK107" s="274">
        <v>0</v>
      </c>
      <c r="EL107" s="274">
        <v>0</v>
      </c>
      <c r="EM107" s="283" t="s">
        <v>342</v>
      </c>
    </row>
    <row r="108" spans="2:143" ht="10.5" hidden="1">
      <c r="B108" s="30"/>
      <c r="C108" s="41" t="s">
        <v>157</v>
      </c>
      <c r="D108" s="41"/>
      <c r="E108" s="41"/>
      <c r="F108" s="41"/>
      <c r="G108" s="41"/>
      <c r="H108" s="41"/>
      <c r="I108" s="41"/>
      <c r="J108" s="41"/>
      <c r="K108" s="41"/>
      <c r="L108" s="43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273">
        <v>0</v>
      </c>
      <c r="DW108" s="274">
        <v>0</v>
      </c>
      <c r="DX108" s="274">
        <v>0</v>
      </c>
      <c r="DY108" s="274">
        <v>0</v>
      </c>
      <c r="DZ108" s="274">
        <v>0</v>
      </c>
      <c r="EA108" s="274">
        <v>0</v>
      </c>
      <c r="EB108" s="274">
        <v>0</v>
      </c>
      <c r="EC108" s="274">
        <v>0</v>
      </c>
      <c r="ED108" s="274">
        <v>0</v>
      </c>
      <c r="EE108" s="274">
        <v>0</v>
      </c>
      <c r="EF108" s="274">
        <v>0</v>
      </c>
      <c r="EG108" s="274">
        <v>0</v>
      </c>
      <c r="EH108" s="274">
        <v>0</v>
      </c>
      <c r="EI108" s="274">
        <v>0</v>
      </c>
      <c r="EJ108" s="274">
        <v>0</v>
      </c>
      <c r="EK108" s="274">
        <v>0</v>
      </c>
      <c r="EL108" s="274">
        <v>0</v>
      </c>
      <c r="EM108" s="283" t="s">
        <v>342</v>
      </c>
    </row>
    <row r="109" spans="2:143" ht="10.5" hidden="1">
      <c r="B109" s="30"/>
      <c r="C109" s="40" t="s">
        <v>160</v>
      </c>
      <c r="D109" s="34"/>
      <c r="E109" s="34"/>
      <c r="F109" s="34"/>
      <c r="G109" s="34"/>
      <c r="H109" s="34"/>
      <c r="I109" s="34"/>
      <c r="J109" s="34"/>
      <c r="K109" s="51"/>
      <c r="L109" s="36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0"/>
      <c r="AJ109" s="34"/>
      <c r="AK109" s="34"/>
      <c r="AL109" s="34"/>
      <c r="AM109" s="34"/>
      <c r="AN109" s="34"/>
      <c r="AO109" s="40"/>
      <c r="AP109" s="40"/>
      <c r="AQ109" s="40"/>
      <c r="AR109" s="34"/>
      <c r="AS109" s="34"/>
      <c r="AT109" s="34"/>
      <c r="AU109" s="34"/>
      <c r="AV109" s="40"/>
      <c r="AW109" s="40"/>
      <c r="AX109" s="40"/>
      <c r="AY109" s="40"/>
      <c r="AZ109" s="34"/>
      <c r="BA109" s="34"/>
      <c r="BB109" s="52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277">
        <v>0</v>
      </c>
      <c r="DW109" s="278">
        <v>0</v>
      </c>
      <c r="DX109" s="278">
        <v>0</v>
      </c>
      <c r="DY109" s="278">
        <v>0</v>
      </c>
      <c r="DZ109" s="278">
        <v>0</v>
      </c>
      <c r="EA109" s="278">
        <v>0</v>
      </c>
      <c r="EB109" s="278">
        <v>0</v>
      </c>
      <c r="EC109" s="278">
        <v>0</v>
      </c>
      <c r="ED109" s="278">
        <v>0</v>
      </c>
      <c r="EE109" s="278">
        <v>0</v>
      </c>
      <c r="EF109" s="278">
        <v>0</v>
      </c>
      <c r="EG109" s="278">
        <v>0</v>
      </c>
      <c r="EH109" s="278">
        <v>0</v>
      </c>
      <c r="EI109" s="278">
        <v>0</v>
      </c>
      <c r="EJ109" s="278">
        <v>1</v>
      </c>
      <c r="EK109" s="278">
        <v>0</v>
      </c>
      <c r="EL109" s="278">
        <v>0</v>
      </c>
      <c r="EM109" s="294" t="s">
        <v>342</v>
      </c>
    </row>
    <row r="110" spans="1:143" ht="10.5" hidden="1">
      <c r="A110" s="49" t="s">
        <v>400</v>
      </c>
      <c r="B110" s="40">
        <v>14</v>
      </c>
      <c r="C110" s="41" t="s">
        <v>145</v>
      </c>
      <c r="D110" s="41"/>
      <c r="E110" s="41"/>
      <c r="F110" s="41"/>
      <c r="G110" s="41"/>
      <c r="H110" s="41"/>
      <c r="I110" s="41"/>
      <c r="J110" s="41"/>
      <c r="K110" s="41"/>
      <c r="L110" s="43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271">
        <v>0</v>
      </c>
      <c r="DW110" s="272">
        <v>0</v>
      </c>
      <c r="DX110" s="272">
        <v>0</v>
      </c>
      <c r="DY110" s="272">
        <v>0</v>
      </c>
      <c r="DZ110" s="272">
        <v>0</v>
      </c>
      <c r="EA110" s="272">
        <v>0</v>
      </c>
      <c r="EB110" s="272">
        <v>0</v>
      </c>
      <c r="EC110" s="272">
        <v>0</v>
      </c>
      <c r="ED110" s="272">
        <v>0</v>
      </c>
      <c r="EE110" s="272">
        <v>0</v>
      </c>
      <c r="EF110" s="272">
        <v>0</v>
      </c>
      <c r="EG110" s="272">
        <v>0</v>
      </c>
      <c r="EH110" s="272">
        <v>0</v>
      </c>
      <c r="EI110" s="272">
        <v>0</v>
      </c>
      <c r="EJ110" s="272">
        <v>0</v>
      </c>
      <c r="EK110" s="272">
        <v>1</v>
      </c>
      <c r="EL110" s="272">
        <v>0</v>
      </c>
      <c r="EM110" s="286" t="s">
        <v>342</v>
      </c>
    </row>
    <row r="111" spans="2:143" ht="10.5" hidden="1">
      <c r="B111" s="30"/>
      <c r="C111" s="41" t="s">
        <v>147</v>
      </c>
      <c r="D111" s="41"/>
      <c r="E111" s="41"/>
      <c r="F111" s="41"/>
      <c r="G111" s="41"/>
      <c r="H111" s="41"/>
      <c r="I111" s="41"/>
      <c r="J111" s="41"/>
      <c r="K111" s="41"/>
      <c r="L111" s="43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273">
        <v>0</v>
      </c>
      <c r="DW111" s="274">
        <v>0</v>
      </c>
      <c r="DX111" s="274">
        <v>0</v>
      </c>
      <c r="DY111" s="274">
        <v>0</v>
      </c>
      <c r="DZ111" s="274">
        <v>0</v>
      </c>
      <c r="EA111" s="274">
        <v>0</v>
      </c>
      <c r="EB111" s="274">
        <v>0</v>
      </c>
      <c r="EC111" s="274">
        <v>0</v>
      </c>
      <c r="ED111" s="274">
        <v>0</v>
      </c>
      <c r="EE111" s="274">
        <v>0</v>
      </c>
      <c r="EF111" s="274">
        <v>0</v>
      </c>
      <c r="EG111" s="274">
        <v>0</v>
      </c>
      <c r="EH111" s="274">
        <v>0</v>
      </c>
      <c r="EI111" s="274">
        <v>0</v>
      </c>
      <c r="EJ111" s="274">
        <v>0</v>
      </c>
      <c r="EK111" s="274">
        <v>0</v>
      </c>
      <c r="EL111" s="274">
        <v>0</v>
      </c>
      <c r="EM111" s="283" t="s">
        <v>342</v>
      </c>
    </row>
    <row r="112" spans="2:143" ht="10.5" hidden="1">
      <c r="B112" s="30"/>
      <c r="C112" s="41" t="s">
        <v>149</v>
      </c>
      <c r="D112" s="41"/>
      <c r="E112" s="41"/>
      <c r="F112" s="41"/>
      <c r="G112" s="41"/>
      <c r="H112" s="41"/>
      <c r="I112" s="41"/>
      <c r="J112" s="41"/>
      <c r="K112" s="41"/>
      <c r="L112" s="43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273">
        <v>0</v>
      </c>
      <c r="DW112" s="274">
        <v>0</v>
      </c>
      <c r="DX112" s="274">
        <v>0</v>
      </c>
      <c r="DY112" s="274">
        <v>0</v>
      </c>
      <c r="DZ112" s="274">
        <v>0</v>
      </c>
      <c r="EA112" s="274">
        <v>0</v>
      </c>
      <c r="EB112" s="274">
        <v>0</v>
      </c>
      <c r="EC112" s="274">
        <v>0</v>
      </c>
      <c r="ED112" s="274">
        <v>0</v>
      </c>
      <c r="EE112" s="274">
        <v>0</v>
      </c>
      <c r="EF112" s="274">
        <v>0</v>
      </c>
      <c r="EG112" s="274">
        <v>0</v>
      </c>
      <c r="EH112" s="274">
        <v>0</v>
      </c>
      <c r="EI112" s="274">
        <v>0</v>
      </c>
      <c r="EJ112" s="274">
        <v>0</v>
      </c>
      <c r="EK112" s="274">
        <v>0</v>
      </c>
      <c r="EL112" s="274">
        <v>0</v>
      </c>
      <c r="EM112" s="283" t="s">
        <v>342</v>
      </c>
    </row>
    <row r="113" spans="2:143" ht="10.5" hidden="1">
      <c r="B113" s="30"/>
      <c r="C113" s="41" t="s">
        <v>151</v>
      </c>
      <c r="D113" s="41"/>
      <c r="E113" s="41"/>
      <c r="F113" s="41"/>
      <c r="G113" s="41"/>
      <c r="H113" s="41"/>
      <c r="I113" s="41"/>
      <c r="J113" s="41"/>
      <c r="K113" s="41"/>
      <c r="L113" s="43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273">
        <v>0</v>
      </c>
      <c r="DW113" s="274">
        <v>0</v>
      </c>
      <c r="DX113" s="274">
        <v>0</v>
      </c>
      <c r="DY113" s="274">
        <v>0</v>
      </c>
      <c r="DZ113" s="274">
        <v>0</v>
      </c>
      <c r="EA113" s="274">
        <v>0</v>
      </c>
      <c r="EB113" s="274">
        <v>0</v>
      </c>
      <c r="EC113" s="274">
        <v>0</v>
      </c>
      <c r="ED113" s="274">
        <v>0</v>
      </c>
      <c r="EE113" s="274">
        <v>0</v>
      </c>
      <c r="EF113" s="274">
        <v>0</v>
      </c>
      <c r="EG113" s="274">
        <v>0</v>
      </c>
      <c r="EH113" s="274">
        <v>0</v>
      </c>
      <c r="EI113" s="274">
        <v>0</v>
      </c>
      <c r="EJ113" s="274">
        <v>0</v>
      </c>
      <c r="EK113" s="274">
        <v>0</v>
      </c>
      <c r="EL113" s="274">
        <v>0</v>
      </c>
      <c r="EM113" s="283" t="s">
        <v>342</v>
      </c>
    </row>
    <row r="114" spans="2:143" ht="10.5" hidden="1">
      <c r="B114" s="30"/>
      <c r="C114" s="41" t="s">
        <v>153</v>
      </c>
      <c r="D114" s="41"/>
      <c r="E114" s="41"/>
      <c r="F114" s="41"/>
      <c r="G114" s="41"/>
      <c r="H114" s="41"/>
      <c r="I114" s="41"/>
      <c r="J114" s="41"/>
      <c r="K114" s="41"/>
      <c r="L114" s="43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273">
        <v>0</v>
      </c>
      <c r="DW114" s="274">
        <v>0</v>
      </c>
      <c r="DX114" s="274">
        <v>0</v>
      </c>
      <c r="DY114" s="274">
        <v>0</v>
      </c>
      <c r="DZ114" s="274">
        <v>0</v>
      </c>
      <c r="EA114" s="274">
        <v>0</v>
      </c>
      <c r="EB114" s="274">
        <v>0</v>
      </c>
      <c r="EC114" s="274">
        <v>0</v>
      </c>
      <c r="ED114" s="274">
        <v>0</v>
      </c>
      <c r="EE114" s="274">
        <v>0</v>
      </c>
      <c r="EF114" s="274">
        <v>0</v>
      </c>
      <c r="EG114" s="274">
        <v>0</v>
      </c>
      <c r="EH114" s="274">
        <v>0</v>
      </c>
      <c r="EI114" s="274">
        <v>0</v>
      </c>
      <c r="EJ114" s="274">
        <v>0</v>
      </c>
      <c r="EK114" s="274">
        <v>0</v>
      </c>
      <c r="EL114" s="274">
        <v>0</v>
      </c>
      <c r="EM114" s="283" t="s">
        <v>342</v>
      </c>
    </row>
    <row r="115" spans="2:143" ht="10.5" hidden="1">
      <c r="B115" s="30"/>
      <c r="C115" s="41" t="s">
        <v>155</v>
      </c>
      <c r="D115" s="41"/>
      <c r="E115" s="41"/>
      <c r="F115" s="41"/>
      <c r="G115" s="41"/>
      <c r="H115" s="41"/>
      <c r="I115" s="41"/>
      <c r="J115" s="41"/>
      <c r="K115" s="41"/>
      <c r="L115" s="43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273">
        <v>0</v>
      </c>
      <c r="DW115" s="274">
        <v>0</v>
      </c>
      <c r="DX115" s="274">
        <v>0</v>
      </c>
      <c r="DY115" s="274">
        <v>0</v>
      </c>
      <c r="DZ115" s="274">
        <v>0</v>
      </c>
      <c r="EA115" s="274">
        <v>0</v>
      </c>
      <c r="EB115" s="274">
        <v>0</v>
      </c>
      <c r="EC115" s="274">
        <v>0</v>
      </c>
      <c r="ED115" s="274">
        <v>0</v>
      </c>
      <c r="EE115" s="274">
        <v>0</v>
      </c>
      <c r="EF115" s="274">
        <v>0</v>
      </c>
      <c r="EG115" s="274">
        <v>0</v>
      </c>
      <c r="EH115" s="274">
        <v>0</v>
      </c>
      <c r="EI115" s="274">
        <v>0</v>
      </c>
      <c r="EJ115" s="274">
        <v>0</v>
      </c>
      <c r="EK115" s="274">
        <v>0</v>
      </c>
      <c r="EL115" s="274">
        <v>0</v>
      </c>
      <c r="EM115" s="283" t="s">
        <v>342</v>
      </c>
    </row>
    <row r="116" spans="2:143" ht="10.5" hidden="1">
      <c r="B116" s="30"/>
      <c r="C116" s="41" t="s">
        <v>157</v>
      </c>
      <c r="D116" s="41"/>
      <c r="E116" s="41"/>
      <c r="F116" s="41"/>
      <c r="G116" s="41"/>
      <c r="H116" s="41"/>
      <c r="I116" s="41"/>
      <c r="J116" s="41"/>
      <c r="K116" s="41"/>
      <c r="L116" s="43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273">
        <v>0</v>
      </c>
      <c r="DW116" s="274">
        <v>0</v>
      </c>
      <c r="DX116" s="274">
        <v>0</v>
      </c>
      <c r="DY116" s="274">
        <v>0</v>
      </c>
      <c r="DZ116" s="274">
        <v>0</v>
      </c>
      <c r="EA116" s="274">
        <v>0</v>
      </c>
      <c r="EB116" s="274">
        <v>0</v>
      </c>
      <c r="EC116" s="274">
        <v>0</v>
      </c>
      <c r="ED116" s="274">
        <v>0</v>
      </c>
      <c r="EE116" s="274">
        <v>0</v>
      </c>
      <c r="EF116" s="274">
        <v>0</v>
      </c>
      <c r="EG116" s="274">
        <v>0</v>
      </c>
      <c r="EH116" s="274">
        <v>0</v>
      </c>
      <c r="EI116" s="274">
        <v>0</v>
      </c>
      <c r="EJ116" s="274">
        <v>0</v>
      </c>
      <c r="EK116" s="274">
        <v>0</v>
      </c>
      <c r="EL116" s="274">
        <v>0</v>
      </c>
      <c r="EM116" s="283" t="s">
        <v>342</v>
      </c>
    </row>
    <row r="117" spans="2:143" ht="10.5" hidden="1">
      <c r="B117" s="30"/>
      <c r="C117" s="40" t="s">
        <v>160</v>
      </c>
      <c r="D117" s="40"/>
      <c r="E117" s="40"/>
      <c r="F117" s="40"/>
      <c r="G117" s="40"/>
      <c r="H117" s="40"/>
      <c r="I117" s="40"/>
      <c r="J117" s="40"/>
      <c r="K117" s="40"/>
      <c r="L117" s="42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277">
        <v>0</v>
      </c>
      <c r="DW117" s="278">
        <v>0</v>
      </c>
      <c r="DX117" s="278">
        <v>0</v>
      </c>
      <c r="DY117" s="278">
        <v>0</v>
      </c>
      <c r="DZ117" s="278">
        <v>0</v>
      </c>
      <c r="EA117" s="278">
        <v>0</v>
      </c>
      <c r="EB117" s="278">
        <v>0</v>
      </c>
      <c r="EC117" s="278">
        <v>0</v>
      </c>
      <c r="ED117" s="278">
        <v>0</v>
      </c>
      <c r="EE117" s="278">
        <v>0</v>
      </c>
      <c r="EF117" s="278">
        <v>0</v>
      </c>
      <c r="EG117" s="278">
        <v>0</v>
      </c>
      <c r="EH117" s="278">
        <v>0</v>
      </c>
      <c r="EI117" s="278">
        <v>0</v>
      </c>
      <c r="EJ117" s="278">
        <v>0</v>
      </c>
      <c r="EK117" s="278">
        <v>1</v>
      </c>
      <c r="EL117" s="278">
        <v>0</v>
      </c>
      <c r="EM117" s="294" t="s">
        <v>342</v>
      </c>
    </row>
    <row r="118" spans="1:143" ht="10.5" hidden="1">
      <c r="A118" s="49" t="s">
        <v>401</v>
      </c>
      <c r="B118" s="40">
        <v>15</v>
      </c>
      <c r="C118" s="41" t="s">
        <v>145</v>
      </c>
      <c r="D118" s="41"/>
      <c r="E118" s="41"/>
      <c r="F118" s="41"/>
      <c r="G118" s="41"/>
      <c r="H118" s="41"/>
      <c r="I118" s="41"/>
      <c r="J118" s="41"/>
      <c r="K118" s="41"/>
      <c r="L118" s="43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271">
        <v>0</v>
      </c>
      <c r="DW118" s="272">
        <v>0</v>
      </c>
      <c r="DX118" s="272">
        <v>0</v>
      </c>
      <c r="DY118" s="272">
        <v>0</v>
      </c>
      <c r="DZ118" s="272">
        <v>0</v>
      </c>
      <c r="EA118" s="272">
        <v>0</v>
      </c>
      <c r="EB118" s="272">
        <v>0</v>
      </c>
      <c r="EC118" s="272">
        <v>0</v>
      </c>
      <c r="ED118" s="272">
        <v>0</v>
      </c>
      <c r="EE118" s="272">
        <v>0</v>
      </c>
      <c r="EF118" s="272">
        <v>0</v>
      </c>
      <c r="EG118" s="272">
        <v>0</v>
      </c>
      <c r="EH118" s="272">
        <v>0</v>
      </c>
      <c r="EI118" s="272">
        <v>0</v>
      </c>
      <c r="EJ118" s="272">
        <v>0</v>
      </c>
      <c r="EK118" s="272">
        <v>0</v>
      </c>
      <c r="EL118" s="272">
        <v>1</v>
      </c>
      <c r="EM118" s="286" t="s">
        <v>342</v>
      </c>
    </row>
    <row r="119" spans="2:143" ht="10.5" hidden="1">
      <c r="B119" s="30"/>
      <c r="C119" s="41" t="s">
        <v>147</v>
      </c>
      <c r="D119" s="41"/>
      <c r="E119" s="41"/>
      <c r="F119" s="41"/>
      <c r="G119" s="41"/>
      <c r="H119" s="41"/>
      <c r="I119" s="41"/>
      <c r="J119" s="41"/>
      <c r="K119" s="41"/>
      <c r="L119" s="43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273">
        <v>0</v>
      </c>
      <c r="DW119" s="274">
        <v>0</v>
      </c>
      <c r="DX119" s="274">
        <v>0</v>
      </c>
      <c r="DY119" s="274">
        <v>0</v>
      </c>
      <c r="DZ119" s="274">
        <v>0</v>
      </c>
      <c r="EA119" s="274">
        <v>0</v>
      </c>
      <c r="EB119" s="274">
        <v>0</v>
      </c>
      <c r="EC119" s="274">
        <v>0</v>
      </c>
      <c r="ED119" s="274">
        <v>0</v>
      </c>
      <c r="EE119" s="274">
        <v>0</v>
      </c>
      <c r="EF119" s="274">
        <v>0</v>
      </c>
      <c r="EG119" s="274">
        <v>0</v>
      </c>
      <c r="EH119" s="274">
        <v>0</v>
      </c>
      <c r="EI119" s="274">
        <v>0</v>
      </c>
      <c r="EJ119" s="274">
        <v>0</v>
      </c>
      <c r="EK119" s="274">
        <v>0</v>
      </c>
      <c r="EL119" s="274">
        <v>0</v>
      </c>
      <c r="EM119" s="283" t="s">
        <v>342</v>
      </c>
    </row>
    <row r="120" spans="2:143" ht="10.5" hidden="1">
      <c r="B120" s="30"/>
      <c r="C120" s="41" t="s">
        <v>149</v>
      </c>
      <c r="D120" s="41"/>
      <c r="E120" s="41"/>
      <c r="F120" s="41"/>
      <c r="G120" s="41"/>
      <c r="H120" s="41"/>
      <c r="I120" s="41"/>
      <c r="J120" s="41"/>
      <c r="K120" s="41"/>
      <c r="L120" s="43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273">
        <v>0</v>
      </c>
      <c r="DW120" s="274">
        <v>0</v>
      </c>
      <c r="DX120" s="274">
        <v>0</v>
      </c>
      <c r="DY120" s="274">
        <v>0</v>
      </c>
      <c r="DZ120" s="274">
        <v>0</v>
      </c>
      <c r="EA120" s="274">
        <v>0</v>
      </c>
      <c r="EB120" s="274">
        <v>0</v>
      </c>
      <c r="EC120" s="274">
        <v>0</v>
      </c>
      <c r="ED120" s="274">
        <v>0</v>
      </c>
      <c r="EE120" s="274">
        <v>0</v>
      </c>
      <c r="EF120" s="274">
        <v>0</v>
      </c>
      <c r="EG120" s="274">
        <v>0</v>
      </c>
      <c r="EH120" s="274">
        <v>0</v>
      </c>
      <c r="EI120" s="274">
        <v>0</v>
      </c>
      <c r="EJ120" s="274">
        <v>0</v>
      </c>
      <c r="EK120" s="274">
        <v>0</v>
      </c>
      <c r="EL120" s="274">
        <v>0</v>
      </c>
      <c r="EM120" s="283" t="s">
        <v>342</v>
      </c>
    </row>
    <row r="121" spans="2:143" ht="10.5" hidden="1">
      <c r="B121" s="30"/>
      <c r="C121" s="41" t="s">
        <v>151</v>
      </c>
      <c r="D121" s="41"/>
      <c r="E121" s="41"/>
      <c r="F121" s="41"/>
      <c r="G121" s="41"/>
      <c r="H121" s="41"/>
      <c r="I121" s="41"/>
      <c r="J121" s="41"/>
      <c r="K121" s="41"/>
      <c r="L121" s="43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273">
        <v>0</v>
      </c>
      <c r="DW121" s="274">
        <v>0</v>
      </c>
      <c r="DX121" s="274">
        <v>0</v>
      </c>
      <c r="DY121" s="274">
        <v>0</v>
      </c>
      <c r="DZ121" s="274">
        <v>0</v>
      </c>
      <c r="EA121" s="274">
        <v>0</v>
      </c>
      <c r="EB121" s="274">
        <v>0</v>
      </c>
      <c r="EC121" s="274">
        <v>0</v>
      </c>
      <c r="ED121" s="274">
        <v>0</v>
      </c>
      <c r="EE121" s="274">
        <v>0</v>
      </c>
      <c r="EF121" s="274">
        <v>0</v>
      </c>
      <c r="EG121" s="274">
        <v>0</v>
      </c>
      <c r="EH121" s="274">
        <v>0</v>
      </c>
      <c r="EI121" s="274">
        <v>0</v>
      </c>
      <c r="EJ121" s="274">
        <v>0</v>
      </c>
      <c r="EK121" s="274">
        <v>0</v>
      </c>
      <c r="EL121" s="274">
        <v>0</v>
      </c>
      <c r="EM121" s="283" t="s">
        <v>342</v>
      </c>
    </row>
    <row r="122" spans="2:143" ht="10.5" hidden="1">
      <c r="B122" s="30"/>
      <c r="C122" s="41" t="s">
        <v>153</v>
      </c>
      <c r="D122" s="41"/>
      <c r="E122" s="41"/>
      <c r="F122" s="41"/>
      <c r="G122" s="41"/>
      <c r="H122" s="41"/>
      <c r="I122" s="41"/>
      <c r="J122" s="41"/>
      <c r="K122" s="41"/>
      <c r="L122" s="43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273">
        <v>0</v>
      </c>
      <c r="DW122" s="274">
        <v>0</v>
      </c>
      <c r="DX122" s="274">
        <v>0</v>
      </c>
      <c r="DY122" s="274">
        <v>0</v>
      </c>
      <c r="DZ122" s="274">
        <v>0</v>
      </c>
      <c r="EA122" s="274">
        <v>0</v>
      </c>
      <c r="EB122" s="274">
        <v>0</v>
      </c>
      <c r="EC122" s="274">
        <v>0</v>
      </c>
      <c r="ED122" s="274">
        <v>0</v>
      </c>
      <c r="EE122" s="274">
        <v>0</v>
      </c>
      <c r="EF122" s="274">
        <v>0</v>
      </c>
      <c r="EG122" s="274">
        <v>0</v>
      </c>
      <c r="EH122" s="274">
        <v>0</v>
      </c>
      <c r="EI122" s="274">
        <v>0</v>
      </c>
      <c r="EJ122" s="274">
        <v>0</v>
      </c>
      <c r="EK122" s="274">
        <v>0</v>
      </c>
      <c r="EL122" s="274">
        <v>0</v>
      </c>
      <c r="EM122" s="283" t="s">
        <v>342</v>
      </c>
    </row>
    <row r="123" spans="2:143" ht="10.5" hidden="1">
      <c r="B123" s="30"/>
      <c r="C123" s="41" t="s">
        <v>155</v>
      </c>
      <c r="D123" s="41"/>
      <c r="E123" s="41"/>
      <c r="F123" s="41"/>
      <c r="G123" s="41"/>
      <c r="H123" s="41"/>
      <c r="I123" s="41"/>
      <c r="J123" s="41"/>
      <c r="K123" s="41"/>
      <c r="L123" s="43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273">
        <v>0</v>
      </c>
      <c r="DW123" s="274">
        <v>0</v>
      </c>
      <c r="DX123" s="274">
        <v>0</v>
      </c>
      <c r="DY123" s="274">
        <v>0</v>
      </c>
      <c r="DZ123" s="274">
        <v>0</v>
      </c>
      <c r="EA123" s="274">
        <v>0</v>
      </c>
      <c r="EB123" s="274">
        <v>0</v>
      </c>
      <c r="EC123" s="274">
        <v>0</v>
      </c>
      <c r="ED123" s="274">
        <v>0</v>
      </c>
      <c r="EE123" s="274">
        <v>0</v>
      </c>
      <c r="EF123" s="274">
        <v>0</v>
      </c>
      <c r="EG123" s="274">
        <v>0</v>
      </c>
      <c r="EH123" s="274">
        <v>0</v>
      </c>
      <c r="EI123" s="274">
        <v>0</v>
      </c>
      <c r="EJ123" s="274">
        <v>0</v>
      </c>
      <c r="EK123" s="274">
        <v>0</v>
      </c>
      <c r="EL123" s="274">
        <v>0</v>
      </c>
      <c r="EM123" s="283" t="s">
        <v>342</v>
      </c>
    </row>
    <row r="124" spans="2:143" ht="10.5" hidden="1">
      <c r="B124" s="30"/>
      <c r="C124" s="41" t="s">
        <v>157</v>
      </c>
      <c r="D124" s="41"/>
      <c r="E124" s="41"/>
      <c r="F124" s="41"/>
      <c r="G124" s="41"/>
      <c r="H124" s="41"/>
      <c r="I124" s="41"/>
      <c r="J124" s="41"/>
      <c r="K124" s="41"/>
      <c r="L124" s="43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273">
        <v>0</v>
      </c>
      <c r="DW124" s="274">
        <v>0</v>
      </c>
      <c r="DX124" s="274">
        <v>0</v>
      </c>
      <c r="DY124" s="274">
        <v>0</v>
      </c>
      <c r="DZ124" s="274">
        <v>0</v>
      </c>
      <c r="EA124" s="274">
        <v>0</v>
      </c>
      <c r="EB124" s="274">
        <v>0</v>
      </c>
      <c r="EC124" s="274">
        <v>0</v>
      </c>
      <c r="ED124" s="274">
        <v>0</v>
      </c>
      <c r="EE124" s="274">
        <v>0</v>
      </c>
      <c r="EF124" s="274">
        <v>0</v>
      </c>
      <c r="EG124" s="274">
        <v>0</v>
      </c>
      <c r="EH124" s="274">
        <v>0</v>
      </c>
      <c r="EI124" s="274">
        <v>0</v>
      </c>
      <c r="EJ124" s="274">
        <v>0</v>
      </c>
      <c r="EK124" s="274">
        <v>0</v>
      </c>
      <c r="EL124" s="274">
        <v>0</v>
      </c>
      <c r="EM124" s="283" t="s">
        <v>342</v>
      </c>
    </row>
    <row r="125" spans="2:143" ht="10.5" hidden="1">
      <c r="B125" s="30"/>
      <c r="C125" s="40" t="s">
        <v>160</v>
      </c>
      <c r="D125" s="40"/>
      <c r="E125" s="40"/>
      <c r="F125" s="40"/>
      <c r="G125" s="40"/>
      <c r="H125" s="40"/>
      <c r="I125" s="40"/>
      <c r="J125" s="40"/>
      <c r="K125" s="40"/>
      <c r="L125" s="42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277">
        <v>0</v>
      </c>
      <c r="DW125" s="278">
        <v>0</v>
      </c>
      <c r="DX125" s="278">
        <v>0</v>
      </c>
      <c r="DY125" s="278">
        <v>0</v>
      </c>
      <c r="DZ125" s="278">
        <v>0</v>
      </c>
      <c r="EA125" s="278">
        <v>0</v>
      </c>
      <c r="EB125" s="278">
        <v>0</v>
      </c>
      <c r="EC125" s="278">
        <v>0</v>
      </c>
      <c r="ED125" s="278">
        <v>0</v>
      </c>
      <c r="EE125" s="278">
        <v>0</v>
      </c>
      <c r="EF125" s="278">
        <v>0</v>
      </c>
      <c r="EG125" s="278">
        <v>0</v>
      </c>
      <c r="EH125" s="278">
        <v>0</v>
      </c>
      <c r="EI125" s="278">
        <v>0</v>
      </c>
      <c r="EJ125" s="278">
        <v>0</v>
      </c>
      <c r="EK125" s="278">
        <v>0</v>
      </c>
      <c r="EL125" s="278">
        <v>1</v>
      </c>
      <c r="EM125" s="294" t="s">
        <v>342</v>
      </c>
    </row>
    <row r="126" spans="2:143" ht="10.5">
      <c r="B126" s="30"/>
      <c r="C126" s="30"/>
      <c r="D126" s="295" t="s">
        <v>386</v>
      </c>
      <c r="E126" s="285" t="s">
        <v>146</v>
      </c>
      <c r="F126" s="285" t="s">
        <v>148</v>
      </c>
      <c r="G126" s="285" t="s">
        <v>150</v>
      </c>
      <c r="H126" s="285" t="s">
        <v>152</v>
      </c>
      <c r="I126" s="285" t="s">
        <v>154</v>
      </c>
      <c r="J126" s="285" t="s">
        <v>156</v>
      </c>
      <c r="K126" s="286" t="s">
        <v>158</v>
      </c>
      <c r="L126" s="295" t="s">
        <v>387</v>
      </c>
      <c r="M126" s="285" t="s">
        <v>146</v>
      </c>
      <c r="N126" s="285" t="s">
        <v>148</v>
      </c>
      <c r="O126" s="285" t="s">
        <v>150</v>
      </c>
      <c r="P126" s="285" t="s">
        <v>152</v>
      </c>
      <c r="Q126" s="285" t="s">
        <v>154</v>
      </c>
      <c r="R126" s="285" t="s">
        <v>156</v>
      </c>
      <c r="S126" s="286" t="s">
        <v>158</v>
      </c>
      <c r="T126" s="295" t="s">
        <v>388</v>
      </c>
      <c r="U126" s="285" t="s">
        <v>146</v>
      </c>
      <c r="V126" s="285" t="s">
        <v>148</v>
      </c>
      <c r="W126" s="285" t="s">
        <v>150</v>
      </c>
      <c r="X126" s="285" t="s">
        <v>152</v>
      </c>
      <c r="Y126" s="285" t="s">
        <v>154</v>
      </c>
      <c r="Z126" s="285" t="s">
        <v>156</v>
      </c>
      <c r="AA126" s="286" t="s">
        <v>158</v>
      </c>
      <c r="AB126" s="295" t="s">
        <v>389</v>
      </c>
      <c r="AC126" s="285" t="s">
        <v>146</v>
      </c>
      <c r="AD126" s="285" t="s">
        <v>148</v>
      </c>
      <c r="AE126" s="285" t="s">
        <v>150</v>
      </c>
      <c r="AF126" s="285" t="s">
        <v>152</v>
      </c>
      <c r="AG126" s="285" t="s">
        <v>154</v>
      </c>
      <c r="AH126" s="285" t="s">
        <v>156</v>
      </c>
      <c r="AI126" s="286" t="s">
        <v>158</v>
      </c>
      <c r="AJ126" s="295" t="s">
        <v>390</v>
      </c>
      <c r="AK126" s="285" t="s">
        <v>146</v>
      </c>
      <c r="AL126" s="285" t="s">
        <v>148</v>
      </c>
      <c r="AM126" s="285" t="s">
        <v>150</v>
      </c>
      <c r="AN126" s="285" t="s">
        <v>152</v>
      </c>
      <c r="AO126" s="285" t="s">
        <v>154</v>
      </c>
      <c r="AP126" s="285" t="s">
        <v>156</v>
      </c>
      <c r="AQ126" s="286" t="s">
        <v>158</v>
      </c>
      <c r="AR126" s="295" t="s">
        <v>391</v>
      </c>
      <c r="AS126" s="285" t="s">
        <v>146</v>
      </c>
      <c r="AT126" s="285" t="s">
        <v>148</v>
      </c>
      <c r="AU126" s="285" t="s">
        <v>150</v>
      </c>
      <c r="AV126" s="285" t="s">
        <v>152</v>
      </c>
      <c r="AW126" s="285" t="s">
        <v>154</v>
      </c>
      <c r="AX126" s="285" t="s">
        <v>156</v>
      </c>
      <c r="AY126" s="286" t="s">
        <v>158</v>
      </c>
      <c r="AZ126" s="295" t="s">
        <v>392</v>
      </c>
      <c r="BA126" s="285" t="s">
        <v>146</v>
      </c>
      <c r="BB126" s="285" t="s">
        <v>148</v>
      </c>
      <c r="BC126" s="285" t="s">
        <v>150</v>
      </c>
      <c r="BD126" s="285" t="s">
        <v>152</v>
      </c>
      <c r="BE126" s="285" t="s">
        <v>154</v>
      </c>
      <c r="BF126" s="285" t="s">
        <v>156</v>
      </c>
      <c r="BG126" s="286" t="s">
        <v>158</v>
      </c>
      <c r="BH126" s="295" t="s">
        <v>393</v>
      </c>
      <c r="BI126" s="285" t="s">
        <v>146</v>
      </c>
      <c r="BJ126" s="285" t="s">
        <v>148</v>
      </c>
      <c r="BK126" s="285" t="s">
        <v>150</v>
      </c>
      <c r="BL126" s="285" t="s">
        <v>152</v>
      </c>
      <c r="BM126" s="285" t="s">
        <v>154</v>
      </c>
      <c r="BN126" s="285" t="s">
        <v>156</v>
      </c>
      <c r="BO126" s="286" t="s">
        <v>158</v>
      </c>
      <c r="BP126" s="295" t="s">
        <v>394</v>
      </c>
      <c r="BQ126" s="285" t="s">
        <v>146</v>
      </c>
      <c r="BR126" s="285" t="s">
        <v>148</v>
      </c>
      <c r="BS126" s="285" t="s">
        <v>150</v>
      </c>
      <c r="BT126" s="285" t="s">
        <v>152</v>
      </c>
      <c r="BU126" s="285" t="s">
        <v>154</v>
      </c>
      <c r="BV126" s="285" t="s">
        <v>156</v>
      </c>
      <c r="BW126" s="286" t="s">
        <v>158</v>
      </c>
      <c r="BX126" s="295" t="s">
        <v>395</v>
      </c>
      <c r="BY126" s="285" t="s">
        <v>146</v>
      </c>
      <c r="BZ126" s="285" t="s">
        <v>148</v>
      </c>
      <c r="CA126" s="285" t="s">
        <v>150</v>
      </c>
      <c r="CB126" s="285" t="s">
        <v>152</v>
      </c>
      <c r="CC126" s="285" t="s">
        <v>154</v>
      </c>
      <c r="CD126" s="285" t="s">
        <v>156</v>
      </c>
      <c r="CE126" s="286" t="s">
        <v>158</v>
      </c>
      <c r="CF126" s="295" t="s">
        <v>396</v>
      </c>
      <c r="CG126" s="285" t="s">
        <v>146</v>
      </c>
      <c r="CH126" s="285" t="s">
        <v>148</v>
      </c>
      <c r="CI126" s="285" t="s">
        <v>150</v>
      </c>
      <c r="CJ126" s="285" t="s">
        <v>152</v>
      </c>
      <c r="CK126" s="285" t="s">
        <v>154</v>
      </c>
      <c r="CL126" s="285" t="s">
        <v>156</v>
      </c>
      <c r="CM126" s="286" t="s">
        <v>158</v>
      </c>
      <c r="CN126" s="295" t="s">
        <v>397</v>
      </c>
      <c r="CO126" s="285" t="s">
        <v>146</v>
      </c>
      <c r="CP126" s="285" t="s">
        <v>148</v>
      </c>
      <c r="CQ126" s="285" t="s">
        <v>150</v>
      </c>
      <c r="CR126" s="285" t="s">
        <v>152</v>
      </c>
      <c r="CS126" s="285" t="s">
        <v>154</v>
      </c>
      <c r="CT126" s="285" t="s">
        <v>156</v>
      </c>
      <c r="CU126" s="286" t="s">
        <v>158</v>
      </c>
      <c r="CV126" s="295" t="s">
        <v>399</v>
      </c>
      <c r="CW126" s="285" t="s">
        <v>146</v>
      </c>
      <c r="CX126" s="285" t="s">
        <v>148</v>
      </c>
      <c r="CY126" s="285" t="s">
        <v>150</v>
      </c>
      <c r="CZ126" s="285" t="s">
        <v>152</v>
      </c>
      <c r="DA126" s="285" t="s">
        <v>154</v>
      </c>
      <c r="DB126" s="285" t="s">
        <v>156</v>
      </c>
      <c r="DC126" s="286" t="s">
        <v>158</v>
      </c>
      <c r="DD126" s="295" t="s">
        <v>400</v>
      </c>
      <c r="DE126" s="285" t="s">
        <v>146</v>
      </c>
      <c r="DF126" s="285" t="s">
        <v>148</v>
      </c>
      <c r="DG126" s="285" t="s">
        <v>150</v>
      </c>
      <c r="DH126" s="285" t="s">
        <v>152</v>
      </c>
      <c r="DI126" s="285" t="s">
        <v>154</v>
      </c>
      <c r="DJ126" s="285" t="s">
        <v>156</v>
      </c>
      <c r="DK126" s="286" t="s">
        <v>158</v>
      </c>
      <c r="DL126" s="295" t="s">
        <v>401</v>
      </c>
      <c r="DM126" s="285" t="s">
        <v>146</v>
      </c>
      <c r="DN126" s="285" t="s">
        <v>148</v>
      </c>
      <c r="DO126" s="285" t="s">
        <v>150</v>
      </c>
      <c r="DP126" s="285" t="s">
        <v>152</v>
      </c>
      <c r="DQ126" s="285" t="s">
        <v>154</v>
      </c>
      <c r="DR126" s="285" t="s">
        <v>156</v>
      </c>
      <c r="DS126" s="286" t="s">
        <v>158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</row>
    <row r="127" spans="2:143" ht="10.5">
      <c r="B127" s="30"/>
      <c r="C127" s="30"/>
      <c r="D127" s="296"/>
      <c r="E127" s="46"/>
      <c r="F127" s="46"/>
      <c r="G127" s="46"/>
      <c r="H127" s="46"/>
      <c r="I127" s="46"/>
      <c r="J127" s="46"/>
      <c r="K127" s="283"/>
      <c r="L127" s="296"/>
      <c r="M127" s="46"/>
      <c r="N127" s="46"/>
      <c r="O127" s="46"/>
      <c r="P127" s="46"/>
      <c r="Q127" s="46"/>
      <c r="R127" s="46"/>
      <c r="S127" s="283"/>
      <c r="T127" s="296"/>
      <c r="U127" s="46"/>
      <c r="V127" s="46"/>
      <c r="W127" s="46"/>
      <c r="X127" s="46"/>
      <c r="Y127" s="46"/>
      <c r="Z127" s="46"/>
      <c r="AA127" s="283"/>
      <c r="AB127" s="296"/>
      <c r="AC127" s="46"/>
      <c r="AD127" s="46"/>
      <c r="AE127" s="46"/>
      <c r="AF127" s="46"/>
      <c r="AG127" s="46"/>
      <c r="AH127" s="46"/>
      <c r="AI127" s="283"/>
      <c r="AJ127" s="296"/>
      <c r="AK127" s="46"/>
      <c r="AL127" s="46"/>
      <c r="AM127" s="46"/>
      <c r="AN127" s="46"/>
      <c r="AO127" s="46"/>
      <c r="AP127" s="46"/>
      <c r="AQ127" s="283"/>
      <c r="AR127" s="296"/>
      <c r="AS127" s="46"/>
      <c r="AT127" s="46"/>
      <c r="AU127" s="46"/>
      <c r="AV127" s="46"/>
      <c r="AW127" s="46"/>
      <c r="AX127" s="46"/>
      <c r="AY127" s="283"/>
      <c r="AZ127" s="296"/>
      <c r="BA127" s="46"/>
      <c r="BB127" s="46"/>
      <c r="BC127" s="46"/>
      <c r="BD127" s="46"/>
      <c r="BE127" s="46"/>
      <c r="BF127" s="46"/>
      <c r="BG127" s="283"/>
      <c r="BH127" s="296"/>
      <c r="BI127" s="46"/>
      <c r="BJ127" s="46"/>
      <c r="BK127" s="46"/>
      <c r="BL127" s="46"/>
      <c r="BM127" s="46"/>
      <c r="BN127" s="46"/>
      <c r="BO127" s="283"/>
      <c r="BP127" s="296"/>
      <c r="BQ127" s="46"/>
      <c r="BR127" s="46"/>
      <c r="BS127" s="46"/>
      <c r="BT127" s="46"/>
      <c r="BU127" s="46"/>
      <c r="BV127" s="46"/>
      <c r="BW127" s="283"/>
      <c r="BX127" s="296"/>
      <c r="BY127" s="46"/>
      <c r="BZ127" s="46"/>
      <c r="CA127" s="46"/>
      <c r="CB127" s="46"/>
      <c r="CC127" s="46"/>
      <c r="CD127" s="46"/>
      <c r="CE127" s="283"/>
      <c r="CF127" s="296"/>
      <c r="CG127" s="46"/>
      <c r="CH127" s="46"/>
      <c r="CI127" s="46"/>
      <c r="CJ127" s="46"/>
      <c r="CK127" s="46"/>
      <c r="CL127" s="46"/>
      <c r="CM127" s="283"/>
      <c r="CN127" s="296"/>
      <c r="CO127" s="46"/>
      <c r="CP127" s="46"/>
      <c r="CQ127" s="46"/>
      <c r="CR127" s="46"/>
      <c r="CS127" s="46"/>
      <c r="CT127" s="46"/>
      <c r="CU127" s="283"/>
      <c r="CV127" s="296"/>
      <c r="CW127" s="46"/>
      <c r="CX127" s="46"/>
      <c r="CY127" s="46"/>
      <c r="CZ127" s="46"/>
      <c r="DA127" s="46"/>
      <c r="DB127" s="46"/>
      <c r="DC127" s="283"/>
      <c r="DD127" s="296"/>
      <c r="DE127" s="46"/>
      <c r="DF127" s="46"/>
      <c r="DG127" s="46"/>
      <c r="DH127" s="46"/>
      <c r="DI127" s="46"/>
      <c r="DJ127" s="46"/>
      <c r="DK127" s="283"/>
      <c r="DL127" s="296"/>
      <c r="DM127" s="46"/>
      <c r="DN127" s="46"/>
      <c r="DO127" s="46"/>
      <c r="DP127" s="46"/>
      <c r="DQ127" s="46"/>
      <c r="DR127" s="46"/>
      <c r="DS127" s="283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</row>
    <row r="128" spans="1:143" ht="10.5">
      <c r="A128" s="35" t="s">
        <v>89</v>
      </c>
      <c r="B128" s="30"/>
      <c r="C128" s="16" t="s">
        <v>402</v>
      </c>
      <c r="D128" s="288">
        <v>0</v>
      </c>
      <c r="E128" s="280">
        <v>0</v>
      </c>
      <c r="F128" s="280">
        <v>0</v>
      </c>
      <c r="G128" s="280">
        <v>0</v>
      </c>
      <c r="H128" s="280">
        <v>0</v>
      </c>
      <c r="I128" s="280">
        <v>0</v>
      </c>
      <c r="J128" s="280">
        <v>0</v>
      </c>
      <c r="K128" s="281">
        <v>0</v>
      </c>
      <c r="L128" s="288">
        <v>0</v>
      </c>
      <c r="M128" s="280">
        <v>0</v>
      </c>
      <c r="N128" s="280">
        <v>0</v>
      </c>
      <c r="O128" s="280">
        <v>0</v>
      </c>
      <c r="P128" s="280">
        <v>0</v>
      </c>
      <c r="Q128" s="280">
        <v>0</v>
      </c>
      <c r="R128" s="280">
        <v>0</v>
      </c>
      <c r="S128" s="281">
        <v>0</v>
      </c>
      <c r="T128" s="288">
        <v>0</v>
      </c>
      <c r="U128" s="280">
        <v>0</v>
      </c>
      <c r="V128" s="280">
        <v>0</v>
      </c>
      <c r="W128" s="280">
        <v>0</v>
      </c>
      <c r="X128" s="280">
        <v>0</v>
      </c>
      <c r="Y128" s="280">
        <v>0</v>
      </c>
      <c r="Z128" s="280">
        <v>0</v>
      </c>
      <c r="AA128" s="281">
        <v>0</v>
      </c>
      <c r="AB128" s="288">
        <v>0</v>
      </c>
      <c r="AC128" s="280">
        <v>0</v>
      </c>
      <c r="AD128" s="280">
        <v>0</v>
      </c>
      <c r="AE128" s="280">
        <v>0</v>
      </c>
      <c r="AF128" s="280">
        <v>0</v>
      </c>
      <c r="AG128" s="280">
        <v>0</v>
      </c>
      <c r="AH128" s="280">
        <v>0</v>
      </c>
      <c r="AI128" s="281">
        <v>0</v>
      </c>
      <c r="AJ128" s="288">
        <v>0</v>
      </c>
      <c r="AK128" s="280">
        <v>0</v>
      </c>
      <c r="AL128" s="280">
        <v>0</v>
      </c>
      <c r="AM128" s="280">
        <v>0</v>
      </c>
      <c r="AN128" s="280">
        <v>0</v>
      </c>
      <c r="AO128" s="280">
        <v>0</v>
      </c>
      <c r="AP128" s="280">
        <v>0</v>
      </c>
      <c r="AQ128" s="281">
        <v>0</v>
      </c>
      <c r="AR128" s="288">
        <v>0</v>
      </c>
      <c r="AS128" s="280">
        <v>0</v>
      </c>
      <c r="AT128" s="280">
        <v>0</v>
      </c>
      <c r="AU128" s="280">
        <v>0</v>
      </c>
      <c r="AV128" s="280">
        <v>0</v>
      </c>
      <c r="AW128" s="280">
        <v>0</v>
      </c>
      <c r="AX128" s="280">
        <v>0</v>
      </c>
      <c r="AY128" s="281">
        <v>0</v>
      </c>
      <c r="AZ128" s="288">
        <v>0</v>
      </c>
      <c r="BA128" s="280">
        <v>0</v>
      </c>
      <c r="BB128" s="280">
        <v>0</v>
      </c>
      <c r="BC128" s="280">
        <v>0</v>
      </c>
      <c r="BD128" s="280">
        <v>0</v>
      </c>
      <c r="BE128" s="280">
        <v>0</v>
      </c>
      <c r="BF128" s="280">
        <v>0</v>
      </c>
      <c r="BG128" s="281">
        <v>0</v>
      </c>
      <c r="BH128" s="288">
        <v>0</v>
      </c>
      <c r="BI128" s="280">
        <v>0</v>
      </c>
      <c r="BJ128" s="280">
        <v>0</v>
      </c>
      <c r="BK128" s="280">
        <v>0</v>
      </c>
      <c r="BL128" s="280">
        <v>0</v>
      </c>
      <c r="BM128" s="280">
        <v>0</v>
      </c>
      <c r="BN128" s="280">
        <v>0</v>
      </c>
      <c r="BO128" s="281">
        <v>0</v>
      </c>
      <c r="BP128" s="288">
        <v>0</v>
      </c>
      <c r="BQ128" s="280">
        <v>0</v>
      </c>
      <c r="BR128" s="280">
        <v>0</v>
      </c>
      <c r="BS128" s="280">
        <v>0</v>
      </c>
      <c r="BT128" s="280">
        <v>0</v>
      </c>
      <c r="BU128" s="280">
        <v>0</v>
      </c>
      <c r="BV128" s="280">
        <v>0</v>
      </c>
      <c r="BW128" s="281">
        <v>0</v>
      </c>
      <c r="BX128" s="288">
        <v>0</v>
      </c>
      <c r="BY128" s="280">
        <v>0</v>
      </c>
      <c r="BZ128" s="280">
        <v>0</v>
      </c>
      <c r="CA128" s="280">
        <v>0</v>
      </c>
      <c r="CB128" s="280">
        <v>0</v>
      </c>
      <c r="CC128" s="280">
        <v>0</v>
      </c>
      <c r="CD128" s="280">
        <v>0</v>
      </c>
      <c r="CE128" s="281">
        <v>0</v>
      </c>
      <c r="CF128" s="288">
        <v>0</v>
      </c>
      <c r="CG128" s="280">
        <v>0</v>
      </c>
      <c r="CH128" s="280">
        <v>0</v>
      </c>
      <c r="CI128" s="280">
        <v>0</v>
      </c>
      <c r="CJ128" s="280">
        <v>0</v>
      </c>
      <c r="CK128" s="280">
        <v>0</v>
      </c>
      <c r="CL128" s="280">
        <v>0</v>
      </c>
      <c r="CM128" s="281">
        <v>0</v>
      </c>
      <c r="CN128" s="288">
        <v>0</v>
      </c>
      <c r="CO128" s="280">
        <v>0</v>
      </c>
      <c r="CP128" s="280">
        <v>0</v>
      </c>
      <c r="CQ128" s="280">
        <v>0</v>
      </c>
      <c r="CR128" s="280">
        <v>0</v>
      </c>
      <c r="CS128" s="280">
        <v>0</v>
      </c>
      <c r="CT128" s="280">
        <v>0</v>
      </c>
      <c r="CU128" s="281">
        <v>0</v>
      </c>
      <c r="CV128" s="288">
        <v>0</v>
      </c>
      <c r="CW128" s="280">
        <v>0</v>
      </c>
      <c r="CX128" s="280">
        <v>0</v>
      </c>
      <c r="CY128" s="280">
        <v>0</v>
      </c>
      <c r="CZ128" s="280">
        <v>0</v>
      </c>
      <c r="DA128" s="280">
        <v>0</v>
      </c>
      <c r="DB128" s="280">
        <v>0</v>
      </c>
      <c r="DC128" s="281">
        <v>0</v>
      </c>
      <c r="DD128" s="288">
        <v>0</v>
      </c>
      <c r="DE128" s="280">
        <v>0</v>
      </c>
      <c r="DF128" s="280">
        <v>0</v>
      </c>
      <c r="DG128" s="280">
        <v>0</v>
      </c>
      <c r="DH128" s="280">
        <v>0</v>
      </c>
      <c r="DI128" s="280">
        <v>0</v>
      </c>
      <c r="DJ128" s="280">
        <v>0</v>
      </c>
      <c r="DK128" s="281">
        <v>0</v>
      </c>
      <c r="DL128" s="288">
        <v>0</v>
      </c>
      <c r="DM128" s="280">
        <v>0</v>
      </c>
      <c r="DN128" s="280">
        <v>0</v>
      </c>
      <c r="DO128" s="280">
        <v>0</v>
      </c>
      <c r="DP128" s="280">
        <v>0</v>
      </c>
      <c r="DQ128" s="280">
        <v>0</v>
      </c>
      <c r="DR128" s="280">
        <v>0</v>
      </c>
      <c r="DS128" s="281">
        <v>0</v>
      </c>
      <c r="DT128" s="30"/>
      <c r="DU128" s="30" t="s">
        <v>249</v>
      </c>
      <c r="DV128" s="259"/>
      <c r="DW128" s="260"/>
      <c r="DX128" s="260"/>
      <c r="DY128" s="260"/>
      <c r="DZ128" s="260"/>
      <c r="EA128" s="260"/>
      <c r="EB128" s="260"/>
      <c r="EC128" s="260"/>
      <c r="ED128" s="260"/>
      <c r="EE128" s="260"/>
      <c r="EF128" s="260"/>
      <c r="EG128" s="260"/>
      <c r="EH128" s="260"/>
      <c r="EI128" s="260"/>
      <c r="EJ128" s="260"/>
      <c r="EK128" s="260"/>
      <c r="EL128" s="260"/>
      <c r="EM128" s="286" t="s">
        <v>342</v>
      </c>
    </row>
    <row r="129" spans="1:143" ht="10.5">
      <c r="A129" s="35" t="s">
        <v>89</v>
      </c>
      <c r="B129" s="30"/>
      <c r="C129" s="16" t="s">
        <v>403</v>
      </c>
      <c r="D129" s="288">
        <v>0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  <c r="K129" s="281">
        <v>0</v>
      </c>
      <c r="L129" s="288">
        <v>0</v>
      </c>
      <c r="M129" s="280">
        <v>0</v>
      </c>
      <c r="N129" s="280">
        <v>0</v>
      </c>
      <c r="O129" s="280">
        <v>0</v>
      </c>
      <c r="P129" s="280">
        <v>0</v>
      </c>
      <c r="Q129" s="280">
        <v>0</v>
      </c>
      <c r="R129" s="280">
        <v>0</v>
      </c>
      <c r="S129" s="281">
        <v>0</v>
      </c>
      <c r="T129" s="288">
        <v>0</v>
      </c>
      <c r="U129" s="280">
        <v>0</v>
      </c>
      <c r="V129" s="280">
        <v>0</v>
      </c>
      <c r="W129" s="280">
        <v>0</v>
      </c>
      <c r="X129" s="280">
        <v>0</v>
      </c>
      <c r="Y129" s="280">
        <v>0</v>
      </c>
      <c r="Z129" s="280">
        <v>0</v>
      </c>
      <c r="AA129" s="281">
        <v>0</v>
      </c>
      <c r="AB129" s="288">
        <v>0</v>
      </c>
      <c r="AC129" s="280">
        <v>0</v>
      </c>
      <c r="AD129" s="280">
        <v>0</v>
      </c>
      <c r="AE129" s="280">
        <v>0</v>
      </c>
      <c r="AF129" s="280">
        <v>0</v>
      </c>
      <c r="AG129" s="280">
        <v>0</v>
      </c>
      <c r="AH129" s="280">
        <v>0</v>
      </c>
      <c r="AI129" s="281">
        <v>0</v>
      </c>
      <c r="AJ129" s="288">
        <v>0</v>
      </c>
      <c r="AK129" s="280">
        <v>0</v>
      </c>
      <c r="AL129" s="280">
        <v>0</v>
      </c>
      <c r="AM129" s="280">
        <v>0</v>
      </c>
      <c r="AN129" s="280">
        <v>0</v>
      </c>
      <c r="AO129" s="280">
        <v>0</v>
      </c>
      <c r="AP129" s="280">
        <v>0</v>
      </c>
      <c r="AQ129" s="281">
        <v>0</v>
      </c>
      <c r="AR129" s="288">
        <v>0</v>
      </c>
      <c r="AS129" s="280">
        <v>0</v>
      </c>
      <c r="AT129" s="280">
        <v>0</v>
      </c>
      <c r="AU129" s="280">
        <v>0</v>
      </c>
      <c r="AV129" s="280">
        <v>0</v>
      </c>
      <c r="AW129" s="280">
        <v>0</v>
      </c>
      <c r="AX129" s="280">
        <v>0</v>
      </c>
      <c r="AY129" s="281">
        <v>0</v>
      </c>
      <c r="AZ129" s="288">
        <v>0</v>
      </c>
      <c r="BA129" s="280">
        <v>0</v>
      </c>
      <c r="BB129" s="280">
        <v>0</v>
      </c>
      <c r="BC129" s="280">
        <v>0</v>
      </c>
      <c r="BD129" s="280">
        <v>0</v>
      </c>
      <c r="BE129" s="280">
        <v>0</v>
      </c>
      <c r="BF129" s="280">
        <v>0</v>
      </c>
      <c r="BG129" s="281">
        <v>0</v>
      </c>
      <c r="BH129" s="288">
        <v>0</v>
      </c>
      <c r="BI129" s="280">
        <v>0</v>
      </c>
      <c r="BJ129" s="280">
        <v>0</v>
      </c>
      <c r="BK129" s="280">
        <v>0</v>
      </c>
      <c r="BL129" s="280">
        <v>0</v>
      </c>
      <c r="BM129" s="280">
        <v>0</v>
      </c>
      <c r="BN129" s="280">
        <v>0</v>
      </c>
      <c r="BO129" s="281">
        <v>0</v>
      </c>
      <c r="BP129" s="288">
        <v>0</v>
      </c>
      <c r="BQ129" s="280">
        <v>0</v>
      </c>
      <c r="BR129" s="280">
        <v>0</v>
      </c>
      <c r="BS129" s="280">
        <v>0</v>
      </c>
      <c r="BT129" s="280">
        <v>0</v>
      </c>
      <c r="BU129" s="280">
        <v>0</v>
      </c>
      <c r="BV129" s="280">
        <v>0</v>
      </c>
      <c r="BW129" s="281">
        <v>0</v>
      </c>
      <c r="BX129" s="288">
        <v>0</v>
      </c>
      <c r="BY129" s="280">
        <v>0</v>
      </c>
      <c r="BZ129" s="280">
        <v>0</v>
      </c>
      <c r="CA129" s="280">
        <v>0</v>
      </c>
      <c r="CB129" s="280">
        <v>0</v>
      </c>
      <c r="CC129" s="280">
        <v>0</v>
      </c>
      <c r="CD129" s="280">
        <v>0</v>
      </c>
      <c r="CE129" s="281">
        <v>0</v>
      </c>
      <c r="CF129" s="288">
        <v>0</v>
      </c>
      <c r="CG129" s="280">
        <v>0</v>
      </c>
      <c r="CH129" s="280">
        <v>0</v>
      </c>
      <c r="CI129" s="280">
        <v>0</v>
      </c>
      <c r="CJ129" s="280">
        <v>0</v>
      </c>
      <c r="CK129" s="280">
        <v>0</v>
      </c>
      <c r="CL129" s="280">
        <v>0</v>
      </c>
      <c r="CM129" s="281">
        <v>0</v>
      </c>
      <c r="CN129" s="288">
        <v>0</v>
      </c>
      <c r="CO129" s="280">
        <v>0</v>
      </c>
      <c r="CP129" s="280">
        <v>0</v>
      </c>
      <c r="CQ129" s="280">
        <v>0</v>
      </c>
      <c r="CR129" s="280">
        <v>0</v>
      </c>
      <c r="CS129" s="280">
        <v>0</v>
      </c>
      <c r="CT129" s="280">
        <v>0</v>
      </c>
      <c r="CU129" s="281">
        <v>0</v>
      </c>
      <c r="CV129" s="288">
        <v>0</v>
      </c>
      <c r="CW129" s="280">
        <v>0</v>
      </c>
      <c r="CX129" s="280">
        <v>0</v>
      </c>
      <c r="CY129" s="280">
        <v>0</v>
      </c>
      <c r="CZ129" s="280">
        <v>0</v>
      </c>
      <c r="DA129" s="280">
        <v>0</v>
      </c>
      <c r="DB129" s="280">
        <v>0</v>
      </c>
      <c r="DC129" s="281">
        <v>0</v>
      </c>
      <c r="DD129" s="288">
        <v>0</v>
      </c>
      <c r="DE129" s="280">
        <v>0</v>
      </c>
      <c r="DF129" s="280">
        <v>0</v>
      </c>
      <c r="DG129" s="280">
        <v>0</v>
      </c>
      <c r="DH129" s="280">
        <v>0</v>
      </c>
      <c r="DI129" s="280">
        <v>0</v>
      </c>
      <c r="DJ129" s="280">
        <v>0</v>
      </c>
      <c r="DK129" s="281">
        <v>0</v>
      </c>
      <c r="DL129" s="288">
        <v>0</v>
      </c>
      <c r="DM129" s="280">
        <v>0</v>
      </c>
      <c r="DN129" s="280">
        <v>0</v>
      </c>
      <c r="DO129" s="280">
        <v>0</v>
      </c>
      <c r="DP129" s="280">
        <v>0</v>
      </c>
      <c r="DQ129" s="280">
        <v>0</v>
      </c>
      <c r="DR129" s="280">
        <v>0</v>
      </c>
      <c r="DS129" s="281">
        <v>0</v>
      </c>
      <c r="DT129" s="30"/>
      <c r="DU129" s="30" t="s">
        <v>249</v>
      </c>
      <c r="DV129" s="262"/>
      <c r="DW129" s="263"/>
      <c r="DX129" s="263"/>
      <c r="DY129" s="263"/>
      <c r="DZ129" s="263"/>
      <c r="EA129" s="263"/>
      <c r="EB129" s="263"/>
      <c r="EC129" s="264"/>
      <c r="ED129" s="264"/>
      <c r="EE129" s="264"/>
      <c r="EF129" s="264"/>
      <c r="EG129" s="264"/>
      <c r="EH129" s="263"/>
      <c r="EI129" s="263"/>
      <c r="EJ129" s="263"/>
      <c r="EK129" s="263"/>
      <c r="EL129" s="263"/>
      <c r="EM129" s="283" t="s">
        <v>342</v>
      </c>
    </row>
    <row r="130" spans="1:143" ht="10.5">
      <c r="A130" s="35" t="s">
        <v>89</v>
      </c>
      <c r="B130" s="30"/>
      <c r="C130" s="16" t="s">
        <v>404</v>
      </c>
      <c r="D130" s="288">
        <v>0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  <c r="K130" s="281">
        <v>0</v>
      </c>
      <c r="L130" s="288">
        <v>0</v>
      </c>
      <c r="M130" s="280">
        <v>0</v>
      </c>
      <c r="N130" s="280">
        <v>0</v>
      </c>
      <c r="O130" s="280">
        <v>0</v>
      </c>
      <c r="P130" s="280">
        <v>0</v>
      </c>
      <c r="Q130" s="280">
        <v>0</v>
      </c>
      <c r="R130" s="280">
        <v>0</v>
      </c>
      <c r="S130" s="281">
        <v>0</v>
      </c>
      <c r="T130" s="288">
        <v>0</v>
      </c>
      <c r="U130" s="280">
        <v>0</v>
      </c>
      <c r="V130" s="280">
        <v>0</v>
      </c>
      <c r="W130" s="280">
        <v>0</v>
      </c>
      <c r="X130" s="280">
        <v>0</v>
      </c>
      <c r="Y130" s="280">
        <v>0</v>
      </c>
      <c r="Z130" s="280">
        <v>0</v>
      </c>
      <c r="AA130" s="281">
        <v>0</v>
      </c>
      <c r="AB130" s="288">
        <v>0</v>
      </c>
      <c r="AC130" s="280">
        <v>0</v>
      </c>
      <c r="AD130" s="280">
        <v>0</v>
      </c>
      <c r="AE130" s="280">
        <v>0</v>
      </c>
      <c r="AF130" s="280">
        <v>0</v>
      </c>
      <c r="AG130" s="280">
        <v>0</v>
      </c>
      <c r="AH130" s="280">
        <v>0</v>
      </c>
      <c r="AI130" s="281">
        <v>0</v>
      </c>
      <c r="AJ130" s="288">
        <v>0</v>
      </c>
      <c r="AK130" s="280">
        <v>0</v>
      </c>
      <c r="AL130" s="280">
        <v>0</v>
      </c>
      <c r="AM130" s="280">
        <v>0</v>
      </c>
      <c r="AN130" s="280">
        <v>0</v>
      </c>
      <c r="AO130" s="280">
        <v>0</v>
      </c>
      <c r="AP130" s="280">
        <v>0</v>
      </c>
      <c r="AQ130" s="281">
        <v>0</v>
      </c>
      <c r="AR130" s="288">
        <v>0</v>
      </c>
      <c r="AS130" s="280">
        <v>0</v>
      </c>
      <c r="AT130" s="280">
        <v>0</v>
      </c>
      <c r="AU130" s="280">
        <v>0</v>
      </c>
      <c r="AV130" s="280">
        <v>0</v>
      </c>
      <c r="AW130" s="280">
        <v>0</v>
      </c>
      <c r="AX130" s="280">
        <v>0</v>
      </c>
      <c r="AY130" s="281">
        <v>0</v>
      </c>
      <c r="AZ130" s="288">
        <v>0</v>
      </c>
      <c r="BA130" s="280">
        <v>0</v>
      </c>
      <c r="BB130" s="280">
        <v>0</v>
      </c>
      <c r="BC130" s="280">
        <v>0</v>
      </c>
      <c r="BD130" s="280">
        <v>0</v>
      </c>
      <c r="BE130" s="280">
        <v>0</v>
      </c>
      <c r="BF130" s="280">
        <v>0</v>
      </c>
      <c r="BG130" s="281">
        <v>0</v>
      </c>
      <c r="BH130" s="288">
        <v>0</v>
      </c>
      <c r="BI130" s="280">
        <v>0</v>
      </c>
      <c r="BJ130" s="280">
        <v>0</v>
      </c>
      <c r="BK130" s="280">
        <v>0</v>
      </c>
      <c r="BL130" s="280">
        <v>0</v>
      </c>
      <c r="BM130" s="280">
        <v>0</v>
      </c>
      <c r="BN130" s="280">
        <v>0</v>
      </c>
      <c r="BO130" s="281">
        <v>0</v>
      </c>
      <c r="BP130" s="288">
        <v>0</v>
      </c>
      <c r="BQ130" s="280">
        <v>0</v>
      </c>
      <c r="BR130" s="280">
        <v>0</v>
      </c>
      <c r="BS130" s="280">
        <v>0</v>
      </c>
      <c r="BT130" s="280">
        <v>0</v>
      </c>
      <c r="BU130" s="280">
        <v>0</v>
      </c>
      <c r="BV130" s="280">
        <v>0</v>
      </c>
      <c r="BW130" s="281">
        <v>0</v>
      </c>
      <c r="BX130" s="288">
        <v>0</v>
      </c>
      <c r="BY130" s="280">
        <v>0</v>
      </c>
      <c r="BZ130" s="280">
        <v>0</v>
      </c>
      <c r="CA130" s="280">
        <v>0</v>
      </c>
      <c r="CB130" s="280">
        <v>0</v>
      </c>
      <c r="CC130" s="280">
        <v>0</v>
      </c>
      <c r="CD130" s="280">
        <v>0</v>
      </c>
      <c r="CE130" s="281">
        <v>0</v>
      </c>
      <c r="CF130" s="288">
        <v>0</v>
      </c>
      <c r="CG130" s="280">
        <v>0</v>
      </c>
      <c r="CH130" s="280">
        <v>0</v>
      </c>
      <c r="CI130" s="280">
        <v>0</v>
      </c>
      <c r="CJ130" s="280">
        <v>0</v>
      </c>
      <c r="CK130" s="280">
        <v>0</v>
      </c>
      <c r="CL130" s="280">
        <v>0</v>
      </c>
      <c r="CM130" s="281">
        <v>0</v>
      </c>
      <c r="CN130" s="288">
        <v>0</v>
      </c>
      <c r="CO130" s="280">
        <v>0</v>
      </c>
      <c r="CP130" s="280">
        <v>0</v>
      </c>
      <c r="CQ130" s="280">
        <v>0</v>
      </c>
      <c r="CR130" s="280">
        <v>0</v>
      </c>
      <c r="CS130" s="280">
        <v>0</v>
      </c>
      <c r="CT130" s="280">
        <v>0</v>
      </c>
      <c r="CU130" s="281">
        <v>0</v>
      </c>
      <c r="CV130" s="288">
        <v>0</v>
      </c>
      <c r="CW130" s="280">
        <v>0</v>
      </c>
      <c r="CX130" s="280">
        <v>0</v>
      </c>
      <c r="CY130" s="280">
        <v>0</v>
      </c>
      <c r="CZ130" s="280">
        <v>0</v>
      </c>
      <c r="DA130" s="280">
        <v>0</v>
      </c>
      <c r="DB130" s="280">
        <v>0</v>
      </c>
      <c r="DC130" s="281">
        <v>0</v>
      </c>
      <c r="DD130" s="288">
        <v>0</v>
      </c>
      <c r="DE130" s="280">
        <v>0</v>
      </c>
      <c r="DF130" s="280">
        <v>0</v>
      </c>
      <c r="DG130" s="280">
        <v>0</v>
      </c>
      <c r="DH130" s="280">
        <v>0</v>
      </c>
      <c r="DI130" s="280">
        <v>0</v>
      </c>
      <c r="DJ130" s="280">
        <v>0</v>
      </c>
      <c r="DK130" s="281">
        <v>0</v>
      </c>
      <c r="DL130" s="288">
        <v>0</v>
      </c>
      <c r="DM130" s="280">
        <v>0</v>
      </c>
      <c r="DN130" s="280">
        <v>0</v>
      </c>
      <c r="DO130" s="280">
        <v>0</v>
      </c>
      <c r="DP130" s="280">
        <v>0</v>
      </c>
      <c r="DQ130" s="280">
        <v>0</v>
      </c>
      <c r="DR130" s="280">
        <v>0</v>
      </c>
      <c r="DS130" s="281">
        <v>0</v>
      </c>
      <c r="DT130" s="30"/>
      <c r="DU130" s="30" t="s">
        <v>249</v>
      </c>
      <c r="DV130" s="262"/>
      <c r="DW130" s="263"/>
      <c r="DX130" s="263"/>
      <c r="DY130" s="263"/>
      <c r="DZ130" s="263"/>
      <c r="EA130" s="263"/>
      <c r="EB130" s="263"/>
      <c r="EC130" s="263"/>
      <c r="ED130" s="263"/>
      <c r="EE130" s="263"/>
      <c r="EF130" s="263"/>
      <c r="EG130" s="263"/>
      <c r="EH130" s="263"/>
      <c r="EI130" s="263"/>
      <c r="EJ130" s="263"/>
      <c r="EK130" s="263"/>
      <c r="EL130" s="263"/>
      <c r="EM130" s="283" t="s">
        <v>342</v>
      </c>
    </row>
    <row r="131" spans="1:143" ht="10.5">
      <c r="A131" s="35" t="s">
        <v>89</v>
      </c>
      <c r="B131" s="30"/>
      <c r="C131" s="16" t="s">
        <v>405</v>
      </c>
      <c r="D131" s="288">
        <v>0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  <c r="K131" s="281">
        <v>0</v>
      </c>
      <c r="L131" s="288">
        <v>0</v>
      </c>
      <c r="M131" s="280">
        <v>0</v>
      </c>
      <c r="N131" s="280">
        <v>0</v>
      </c>
      <c r="O131" s="280">
        <v>0</v>
      </c>
      <c r="P131" s="280">
        <v>0</v>
      </c>
      <c r="Q131" s="280">
        <v>0</v>
      </c>
      <c r="R131" s="280">
        <v>0</v>
      </c>
      <c r="S131" s="281">
        <v>0</v>
      </c>
      <c r="T131" s="288">
        <v>0</v>
      </c>
      <c r="U131" s="280">
        <v>0</v>
      </c>
      <c r="V131" s="280">
        <v>0</v>
      </c>
      <c r="W131" s="280">
        <v>0</v>
      </c>
      <c r="X131" s="280">
        <v>0</v>
      </c>
      <c r="Y131" s="280">
        <v>0</v>
      </c>
      <c r="Z131" s="280">
        <v>0</v>
      </c>
      <c r="AA131" s="281">
        <v>0</v>
      </c>
      <c r="AB131" s="288">
        <v>0</v>
      </c>
      <c r="AC131" s="280">
        <v>0</v>
      </c>
      <c r="AD131" s="280">
        <v>0</v>
      </c>
      <c r="AE131" s="280">
        <v>0</v>
      </c>
      <c r="AF131" s="280">
        <v>0</v>
      </c>
      <c r="AG131" s="280">
        <v>0</v>
      </c>
      <c r="AH131" s="280">
        <v>0</v>
      </c>
      <c r="AI131" s="281">
        <v>0</v>
      </c>
      <c r="AJ131" s="288">
        <v>0</v>
      </c>
      <c r="AK131" s="280">
        <v>0</v>
      </c>
      <c r="AL131" s="280">
        <v>0</v>
      </c>
      <c r="AM131" s="280">
        <v>0</v>
      </c>
      <c r="AN131" s="280">
        <v>0</v>
      </c>
      <c r="AO131" s="280">
        <v>0</v>
      </c>
      <c r="AP131" s="280">
        <v>0</v>
      </c>
      <c r="AQ131" s="281">
        <v>0</v>
      </c>
      <c r="AR131" s="288">
        <v>0</v>
      </c>
      <c r="AS131" s="280">
        <v>0</v>
      </c>
      <c r="AT131" s="280">
        <v>0</v>
      </c>
      <c r="AU131" s="280">
        <v>0</v>
      </c>
      <c r="AV131" s="280">
        <v>0</v>
      </c>
      <c r="AW131" s="280">
        <v>0</v>
      </c>
      <c r="AX131" s="280">
        <v>0</v>
      </c>
      <c r="AY131" s="281">
        <v>0</v>
      </c>
      <c r="AZ131" s="288">
        <v>0</v>
      </c>
      <c r="BA131" s="280">
        <v>0</v>
      </c>
      <c r="BB131" s="280">
        <v>0</v>
      </c>
      <c r="BC131" s="280">
        <v>0</v>
      </c>
      <c r="BD131" s="280">
        <v>0</v>
      </c>
      <c r="BE131" s="280">
        <v>0</v>
      </c>
      <c r="BF131" s="280">
        <v>0</v>
      </c>
      <c r="BG131" s="281">
        <v>0</v>
      </c>
      <c r="BH131" s="288">
        <v>0</v>
      </c>
      <c r="BI131" s="280">
        <v>0</v>
      </c>
      <c r="BJ131" s="280">
        <v>0</v>
      </c>
      <c r="BK131" s="280">
        <v>0</v>
      </c>
      <c r="BL131" s="280">
        <v>0</v>
      </c>
      <c r="BM131" s="280">
        <v>0</v>
      </c>
      <c r="BN131" s="280">
        <v>0</v>
      </c>
      <c r="BO131" s="281">
        <v>0</v>
      </c>
      <c r="BP131" s="288">
        <v>0</v>
      </c>
      <c r="BQ131" s="280">
        <v>0</v>
      </c>
      <c r="BR131" s="280">
        <v>0</v>
      </c>
      <c r="BS131" s="280">
        <v>0</v>
      </c>
      <c r="BT131" s="280">
        <v>0</v>
      </c>
      <c r="BU131" s="280">
        <v>0</v>
      </c>
      <c r="BV131" s="280">
        <v>0</v>
      </c>
      <c r="BW131" s="281">
        <v>0</v>
      </c>
      <c r="BX131" s="288">
        <v>0</v>
      </c>
      <c r="BY131" s="280">
        <v>0</v>
      </c>
      <c r="BZ131" s="280">
        <v>0</v>
      </c>
      <c r="CA131" s="280">
        <v>0</v>
      </c>
      <c r="CB131" s="280">
        <v>0</v>
      </c>
      <c r="CC131" s="280">
        <v>0</v>
      </c>
      <c r="CD131" s="280">
        <v>0</v>
      </c>
      <c r="CE131" s="281">
        <v>0</v>
      </c>
      <c r="CF131" s="288">
        <v>0</v>
      </c>
      <c r="CG131" s="280">
        <v>0</v>
      </c>
      <c r="CH131" s="280">
        <v>0</v>
      </c>
      <c r="CI131" s="280">
        <v>0</v>
      </c>
      <c r="CJ131" s="280">
        <v>0</v>
      </c>
      <c r="CK131" s="280">
        <v>0</v>
      </c>
      <c r="CL131" s="280">
        <v>0</v>
      </c>
      <c r="CM131" s="281">
        <v>0</v>
      </c>
      <c r="CN131" s="288">
        <v>0</v>
      </c>
      <c r="CO131" s="280">
        <v>0</v>
      </c>
      <c r="CP131" s="280">
        <v>0</v>
      </c>
      <c r="CQ131" s="280">
        <v>0</v>
      </c>
      <c r="CR131" s="280">
        <v>0</v>
      </c>
      <c r="CS131" s="280">
        <v>0</v>
      </c>
      <c r="CT131" s="280">
        <v>0</v>
      </c>
      <c r="CU131" s="281">
        <v>0</v>
      </c>
      <c r="CV131" s="288">
        <v>0</v>
      </c>
      <c r="CW131" s="280">
        <v>0</v>
      </c>
      <c r="CX131" s="280">
        <v>0</v>
      </c>
      <c r="CY131" s="280">
        <v>0</v>
      </c>
      <c r="CZ131" s="280">
        <v>0</v>
      </c>
      <c r="DA131" s="280">
        <v>0</v>
      </c>
      <c r="DB131" s="280">
        <v>0</v>
      </c>
      <c r="DC131" s="281">
        <v>0</v>
      </c>
      <c r="DD131" s="288">
        <v>0</v>
      </c>
      <c r="DE131" s="280">
        <v>0</v>
      </c>
      <c r="DF131" s="280">
        <v>0</v>
      </c>
      <c r="DG131" s="280">
        <v>0</v>
      </c>
      <c r="DH131" s="280">
        <v>0</v>
      </c>
      <c r="DI131" s="280">
        <v>0</v>
      </c>
      <c r="DJ131" s="280">
        <v>0</v>
      </c>
      <c r="DK131" s="281">
        <v>0</v>
      </c>
      <c r="DL131" s="288">
        <v>0</v>
      </c>
      <c r="DM131" s="280">
        <v>0</v>
      </c>
      <c r="DN131" s="280">
        <v>0</v>
      </c>
      <c r="DO131" s="280">
        <v>0</v>
      </c>
      <c r="DP131" s="280">
        <v>0</v>
      </c>
      <c r="DQ131" s="280">
        <v>0</v>
      </c>
      <c r="DR131" s="280">
        <v>0</v>
      </c>
      <c r="DS131" s="281">
        <v>0</v>
      </c>
      <c r="DT131" s="30"/>
      <c r="DU131" s="30" t="s">
        <v>249</v>
      </c>
      <c r="DV131" s="262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6"/>
      <c r="EI131" s="266"/>
      <c r="EJ131" s="266"/>
      <c r="EK131" s="266"/>
      <c r="EL131" s="266"/>
      <c r="EM131" s="283" t="s">
        <v>342</v>
      </c>
    </row>
    <row r="132" spans="1:143" ht="10.5">
      <c r="A132" s="35" t="s">
        <v>89</v>
      </c>
      <c r="B132" s="30"/>
      <c r="C132" s="16" t="s">
        <v>406</v>
      </c>
      <c r="D132" s="288">
        <v>0</v>
      </c>
      <c r="E132" s="280">
        <v>0</v>
      </c>
      <c r="F132" s="280">
        <v>0</v>
      </c>
      <c r="G132" s="280">
        <v>0</v>
      </c>
      <c r="H132" s="280">
        <v>0</v>
      </c>
      <c r="I132" s="280">
        <v>0</v>
      </c>
      <c r="J132" s="280">
        <v>0</v>
      </c>
      <c r="K132" s="281">
        <v>0</v>
      </c>
      <c r="L132" s="288">
        <v>0</v>
      </c>
      <c r="M132" s="280">
        <v>0</v>
      </c>
      <c r="N132" s="280">
        <v>0</v>
      </c>
      <c r="O132" s="280">
        <v>0</v>
      </c>
      <c r="P132" s="280">
        <v>0</v>
      </c>
      <c r="Q132" s="280">
        <v>0</v>
      </c>
      <c r="R132" s="280">
        <v>0</v>
      </c>
      <c r="S132" s="281">
        <v>0</v>
      </c>
      <c r="T132" s="288">
        <v>0</v>
      </c>
      <c r="U132" s="280">
        <v>0</v>
      </c>
      <c r="V132" s="280">
        <v>0</v>
      </c>
      <c r="W132" s="280">
        <v>0</v>
      </c>
      <c r="X132" s="280">
        <v>0</v>
      </c>
      <c r="Y132" s="280">
        <v>0</v>
      </c>
      <c r="Z132" s="280">
        <v>0</v>
      </c>
      <c r="AA132" s="281">
        <v>0</v>
      </c>
      <c r="AB132" s="288">
        <v>0</v>
      </c>
      <c r="AC132" s="280">
        <v>0</v>
      </c>
      <c r="AD132" s="280">
        <v>0</v>
      </c>
      <c r="AE132" s="280">
        <v>0</v>
      </c>
      <c r="AF132" s="280">
        <v>0</v>
      </c>
      <c r="AG132" s="280">
        <v>0</v>
      </c>
      <c r="AH132" s="280">
        <v>0</v>
      </c>
      <c r="AI132" s="281">
        <v>0</v>
      </c>
      <c r="AJ132" s="288">
        <v>0</v>
      </c>
      <c r="AK132" s="280">
        <v>0</v>
      </c>
      <c r="AL132" s="280">
        <v>0</v>
      </c>
      <c r="AM132" s="280">
        <v>0</v>
      </c>
      <c r="AN132" s="280">
        <v>0</v>
      </c>
      <c r="AO132" s="280">
        <v>0</v>
      </c>
      <c r="AP132" s="280">
        <v>0</v>
      </c>
      <c r="AQ132" s="281">
        <v>0</v>
      </c>
      <c r="AR132" s="288">
        <v>0</v>
      </c>
      <c r="AS132" s="280">
        <v>0</v>
      </c>
      <c r="AT132" s="280">
        <v>0</v>
      </c>
      <c r="AU132" s="280">
        <v>0</v>
      </c>
      <c r="AV132" s="280">
        <v>0</v>
      </c>
      <c r="AW132" s="280">
        <v>0</v>
      </c>
      <c r="AX132" s="280">
        <v>0</v>
      </c>
      <c r="AY132" s="281">
        <v>0</v>
      </c>
      <c r="AZ132" s="288">
        <v>0</v>
      </c>
      <c r="BA132" s="280">
        <v>0</v>
      </c>
      <c r="BB132" s="280">
        <v>0</v>
      </c>
      <c r="BC132" s="280">
        <v>0</v>
      </c>
      <c r="BD132" s="280">
        <v>0</v>
      </c>
      <c r="BE132" s="280">
        <v>0</v>
      </c>
      <c r="BF132" s="280">
        <v>0</v>
      </c>
      <c r="BG132" s="281">
        <v>0</v>
      </c>
      <c r="BH132" s="288">
        <v>0</v>
      </c>
      <c r="BI132" s="280">
        <v>0</v>
      </c>
      <c r="BJ132" s="280">
        <v>0</v>
      </c>
      <c r="BK132" s="280">
        <v>0</v>
      </c>
      <c r="BL132" s="280">
        <v>0</v>
      </c>
      <c r="BM132" s="280">
        <v>0</v>
      </c>
      <c r="BN132" s="280">
        <v>0</v>
      </c>
      <c r="BO132" s="281">
        <v>0</v>
      </c>
      <c r="BP132" s="288">
        <v>0</v>
      </c>
      <c r="BQ132" s="280">
        <v>0</v>
      </c>
      <c r="BR132" s="280">
        <v>0</v>
      </c>
      <c r="BS132" s="280">
        <v>0</v>
      </c>
      <c r="BT132" s="280">
        <v>0</v>
      </c>
      <c r="BU132" s="280">
        <v>0</v>
      </c>
      <c r="BV132" s="280">
        <v>0</v>
      </c>
      <c r="BW132" s="281">
        <v>0</v>
      </c>
      <c r="BX132" s="288">
        <v>0</v>
      </c>
      <c r="BY132" s="280">
        <v>0</v>
      </c>
      <c r="BZ132" s="280">
        <v>0</v>
      </c>
      <c r="CA132" s="280">
        <v>0</v>
      </c>
      <c r="CB132" s="280">
        <v>0</v>
      </c>
      <c r="CC132" s="280">
        <v>0</v>
      </c>
      <c r="CD132" s="280">
        <v>0</v>
      </c>
      <c r="CE132" s="281">
        <v>0</v>
      </c>
      <c r="CF132" s="288">
        <v>0</v>
      </c>
      <c r="CG132" s="280">
        <v>0</v>
      </c>
      <c r="CH132" s="280">
        <v>0</v>
      </c>
      <c r="CI132" s="280">
        <v>0</v>
      </c>
      <c r="CJ132" s="280">
        <v>0</v>
      </c>
      <c r="CK132" s="280">
        <v>0</v>
      </c>
      <c r="CL132" s="280">
        <v>0</v>
      </c>
      <c r="CM132" s="281">
        <v>0</v>
      </c>
      <c r="CN132" s="288">
        <v>0</v>
      </c>
      <c r="CO132" s="280">
        <v>0</v>
      </c>
      <c r="CP132" s="280">
        <v>0</v>
      </c>
      <c r="CQ132" s="280">
        <v>0</v>
      </c>
      <c r="CR132" s="280">
        <v>0</v>
      </c>
      <c r="CS132" s="280">
        <v>0</v>
      </c>
      <c r="CT132" s="280">
        <v>0</v>
      </c>
      <c r="CU132" s="281">
        <v>0</v>
      </c>
      <c r="CV132" s="288">
        <v>0</v>
      </c>
      <c r="CW132" s="280">
        <v>0</v>
      </c>
      <c r="CX132" s="280">
        <v>0</v>
      </c>
      <c r="CY132" s="280">
        <v>0</v>
      </c>
      <c r="CZ132" s="280">
        <v>0</v>
      </c>
      <c r="DA132" s="280">
        <v>0</v>
      </c>
      <c r="DB132" s="280">
        <v>0</v>
      </c>
      <c r="DC132" s="281">
        <v>0</v>
      </c>
      <c r="DD132" s="288">
        <v>0</v>
      </c>
      <c r="DE132" s="280">
        <v>0</v>
      </c>
      <c r="DF132" s="280">
        <v>0</v>
      </c>
      <c r="DG132" s="280">
        <v>0</v>
      </c>
      <c r="DH132" s="280">
        <v>0</v>
      </c>
      <c r="DI132" s="280">
        <v>0</v>
      </c>
      <c r="DJ132" s="280">
        <v>0</v>
      </c>
      <c r="DK132" s="281">
        <v>0</v>
      </c>
      <c r="DL132" s="288">
        <v>0</v>
      </c>
      <c r="DM132" s="280">
        <v>0</v>
      </c>
      <c r="DN132" s="280">
        <v>0</v>
      </c>
      <c r="DO132" s="280">
        <v>0</v>
      </c>
      <c r="DP132" s="280">
        <v>0</v>
      </c>
      <c r="DQ132" s="280">
        <v>0</v>
      </c>
      <c r="DR132" s="280">
        <v>0</v>
      </c>
      <c r="DS132" s="281">
        <v>0</v>
      </c>
      <c r="DT132" s="30"/>
      <c r="DU132" s="30" t="s">
        <v>249</v>
      </c>
      <c r="DV132" s="262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6"/>
      <c r="EI132" s="266"/>
      <c r="EJ132" s="266"/>
      <c r="EK132" s="266"/>
      <c r="EL132" s="266"/>
      <c r="EM132" s="283" t="s">
        <v>342</v>
      </c>
    </row>
    <row r="133" spans="1:143" ht="10.5">
      <c r="A133" s="35" t="s">
        <v>89</v>
      </c>
      <c r="B133" s="30"/>
      <c r="C133" s="16" t="s">
        <v>407</v>
      </c>
      <c r="D133" s="288">
        <v>0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  <c r="K133" s="281">
        <v>0</v>
      </c>
      <c r="L133" s="288">
        <v>0</v>
      </c>
      <c r="M133" s="280">
        <v>0</v>
      </c>
      <c r="N133" s="280">
        <v>0</v>
      </c>
      <c r="O133" s="280">
        <v>0</v>
      </c>
      <c r="P133" s="280">
        <v>0</v>
      </c>
      <c r="Q133" s="280">
        <v>0</v>
      </c>
      <c r="R133" s="280">
        <v>0</v>
      </c>
      <c r="S133" s="281">
        <v>0</v>
      </c>
      <c r="T133" s="288">
        <v>0</v>
      </c>
      <c r="U133" s="280">
        <v>0</v>
      </c>
      <c r="V133" s="280">
        <v>0</v>
      </c>
      <c r="W133" s="280">
        <v>0</v>
      </c>
      <c r="X133" s="280">
        <v>0</v>
      </c>
      <c r="Y133" s="280">
        <v>0</v>
      </c>
      <c r="Z133" s="280">
        <v>0</v>
      </c>
      <c r="AA133" s="281">
        <v>0</v>
      </c>
      <c r="AB133" s="288">
        <v>0</v>
      </c>
      <c r="AC133" s="280">
        <v>0</v>
      </c>
      <c r="AD133" s="280">
        <v>0</v>
      </c>
      <c r="AE133" s="280">
        <v>0</v>
      </c>
      <c r="AF133" s="280">
        <v>0</v>
      </c>
      <c r="AG133" s="280">
        <v>0</v>
      </c>
      <c r="AH133" s="280">
        <v>0</v>
      </c>
      <c r="AI133" s="281">
        <v>0</v>
      </c>
      <c r="AJ133" s="288">
        <v>0</v>
      </c>
      <c r="AK133" s="280">
        <v>0</v>
      </c>
      <c r="AL133" s="280">
        <v>0</v>
      </c>
      <c r="AM133" s="280">
        <v>0</v>
      </c>
      <c r="AN133" s="280">
        <v>0</v>
      </c>
      <c r="AO133" s="280">
        <v>0</v>
      </c>
      <c r="AP133" s="280">
        <v>0</v>
      </c>
      <c r="AQ133" s="281">
        <v>0</v>
      </c>
      <c r="AR133" s="288">
        <v>0</v>
      </c>
      <c r="AS133" s="280">
        <v>0</v>
      </c>
      <c r="AT133" s="280">
        <v>0</v>
      </c>
      <c r="AU133" s="280">
        <v>0</v>
      </c>
      <c r="AV133" s="280">
        <v>0</v>
      </c>
      <c r="AW133" s="280">
        <v>0</v>
      </c>
      <c r="AX133" s="280">
        <v>0</v>
      </c>
      <c r="AY133" s="281">
        <v>0</v>
      </c>
      <c r="AZ133" s="288">
        <v>0</v>
      </c>
      <c r="BA133" s="280">
        <v>0</v>
      </c>
      <c r="BB133" s="280">
        <v>0</v>
      </c>
      <c r="BC133" s="280">
        <v>0</v>
      </c>
      <c r="BD133" s="280">
        <v>0</v>
      </c>
      <c r="BE133" s="280">
        <v>0</v>
      </c>
      <c r="BF133" s="280">
        <v>0</v>
      </c>
      <c r="BG133" s="281">
        <v>0</v>
      </c>
      <c r="BH133" s="288">
        <v>0</v>
      </c>
      <c r="BI133" s="280">
        <v>0</v>
      </c>
      <c r="BJ133" s="280">
        <v>0</v>
      </c>
      <c r="BK133" s="280">
        <v>0</v>
      </c>
      <c r="BL133" s="280">
        <v>0</v>
      </c>
      <c r="BM133" s="280">
        <v>0</v>
      </c>
      <c r="BN133" s="280">
        <v>0</v>
      </c>
      <c r="BO133" s="281">
        <v>0</v>
      </c>
      <c r="BP133" s="288">
        <v>0</v>
      </c>
      <c r="BQ133" s="280">
        <v>0</v>
      </c>
      <c r="BR133" s="280">
        <v>0</v>
      </c>
      <c r="BS133" s="280">
        <v>0</v>
      </c>
      <c r="BT133" s="280">
        <v>0</v>
      </c>
      <c r="BU133" s="280">
        <v>0</v>
      </c>
      <c r="BV133" s="280">
        <v>0</v>
      </c>
      <c r="BW133" s="281">
        <v>0</v>
      </c>
      <c r="BX133" s="288">
        <v>0</v>
      </c>
      <c r="BY133" s="280">
        <v>0</v>
      </c>
      <c r="BZ133" s="280">
        <v>0</v>
      </c>
      <c r="CA133" s="280">
        <v>0</v>
      </c>
      <c r="CB133" s="280">
        <v>0</v>
      </c>
      <c r="CC133" s="280">
        <v>0</v>
      </c>
      <c r="CD133" s="280">
        <v>0</v>
      </c>
      <c r="CE133" s="281">
        <v>0</v>
      </c>
      <c r="CF133" s="288">
        <v>0</v>
      </c>
      <c r="CG133" s="280">
        <v>0</v>
      </c>
      <c r="CH133" s="280">
        <v>0</v>
      </c>
      <c r="CI133" s="280">
        <v>0</v>
      </c>
      <c r="CJ133" s="280">
        <v>0</v>
      </c>
      <c r="CK133" s="280">
        <v>0</v>
      </c>
      <c r="CL133" s="280">
        <v>0</v>
      </c>
      <c r="CM133" s="281">
        <v>0</v>
      </c>
      <c r="CN133" s="288">
        <v>0</v>
      </c>
      <c r="CO133" s="280">
        <v>0</v>
      </c>
      <c r="CP133" s="280">
        <v>0</v>
      </c>
      <c r="CQ133" s="280">
        <v>0</v>
      </c>
      <c r="CR133" s="280">
        <v>0</v>
      </c>
      <c r="CS133" s="280">
        <v>0</v>
      </c>
      <c r="CT133" s="280">
        <v>0</v>
      </c>
      <c r="CU133" s="281">
        <v>0</v>
      </c>
      <c r="CV133" s="288">
        <v>0</v>
      </c>
      <c r="CW133" s="280">
        <v>0</v>
      </c>
      <c r="CX133" s="280">
        <v>0</v>
      </c>
      <c r="CY133" s="280">
        <v>0</v>
      </c>
      <c r="CZ133" s="280">
        <v>0</v>
      </c>
      <c r="DA133" s="280">
        <v>0</v>
      </c>
      <c r="DB133" s="280">
        <v>0</v>
      </c>
      <c r="DC133" s="281">
        <v>0</v>
      </c>
      <c r="DD133" s="288">
        <v>0</v>
      </c>
      <c r="DE133" s="280">
        <v>0</v>
      </c>
      <c r="DF133" s="280">
        <v>0</v>
      </c>
      <c r="DG133" s="280">
        <v>0</v>
      </c>
      <c r="DH133" s="280">
        <v>0</v>
      </c>
      <c r="DI133" s="280">
        <v>0</v>
      </c>
      <c r="DJ133" s="280">
        <v>0</v>
      </c>
      <c r="DK133" s="281">
        <v>0</v>
      </c>
      <c r="DL133" s="288">
        <v>0</v>
      </c>
      <c r="DM133" s="280">
        <v>0</v>
      </c>
      <c r="DN133" s="280">
        <v>0</v>
      </c>
      <c r="DO133" s="280">
        <v>0</v>
      </c>
      <c r="DP133" s="280">
        <v>0</v>
      </c>
      <c r="DQ133" s="280">
        <v>0</v>
      </c>
      <c r="DR133" s="280">
        <v>0</v>
      </c>
      <c r="DS133" s="281">
        <v>0</v>
      </c>
      <c r="DT133" s="30"/>
      <c r="DU133" s="30" t="s">
        <v>249</v>
      </c>
      <c r="DV133" s="262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6"/>
      <c r="EI133" s="266"/>
      <c r="EJ133" s="266"/>
      <c r="EK133" s="266"/>
      <c r="EL133" s="266"/>
      <c r="EM133" s="283" t="s">
        <v>342</v>
      </c>
    </row>
    <row r="134" spans="1:143" ht="10.5">
      <c r="A134" s="35" t="s">
        <v>89</v>
      </c>
      <c r="B134" s="30"/>
      <c r="C134" s="16" t="s">
        <v>408</v>
      </c>
      <c r="D134" s="288">
        <v>0</v>
      </c>
      <c r="E134" s="280">
        <v>0</v>
      </c>
      <c r="F134" s="280">
        <v>0</v>
      </c>
      <c r="G134" s="280">
        <v>0</v>
      </c>
      <c r="H134" s="280">
        <v>0</v>
      </c>
      <c r="I134" s="280">
        <v>0</v>
      </c>
      <c r="J134" s="280">
        <v>0</v>
      </c>
      <c r="K134" s="281">
        <v>0</v>
      </c>
      <c r="L134" s="288">
        <v>0</v>
      </c>
      <c r="M134" s="280">
        <v>0</v>
      </c>
      <c r="N134" s="280">
        <v>0</v>
      </c>
      <c r="O134" s="280">
        <v>0</v>
      </c>
      <c r="P134" s="280">
        <v>0</v>
      </c>
      <c r="Q134" s="280">
        <v>0</v>
      </c>
      <c r="R134" s="280">
        <v>0</v>
      </c>
      <c r="S134" s="281">
        <v>0</v>
      </c>
      <c r="T134" s="288">
        <v>0</v>
      </c>
      <c r="U134" s="280">
        <v>0</v>
      </c>
      <c r="V134" s="280">
        <v>0</v>
      </c>
      <c r="W134" s="280">
        <v>0</v>
      </c>
      <c r="X134" s="280">
        <v>0</v>
      </c>
      <c r="Y134" s="280">
        <v>0</v>
      </c>
      <c r="Z134" s="280">
        <v>0</v>
      </c>
      <c r="AA134" s="281">
        <v>0</v>
      </c>
      <c r="AB134" s="288">
        <v>0</v>
      </c>
      <c r="AC134" s="280">
        <v>0</v>
      </c>
      <c r="AD134" s="280">
        <v>0</v>
      </c>
      <c r="AE134" s="280">
        <v>0</v>
      </c>
      <c r="AF134" s="280">
        <v>0</v>
      </c>
      <c r="AG134" s="280">
        <v>0</v>
      </c>
      <c r="AH134" s="280">
        <v>0</v>
      </c>
      <c r="AI134" s="281">
        <v>0</v>
      </c>
      <c r="AJ134" s="288">
        <v>0</v>
      </c>
      <c r="AK134" s="280">
        <v>0</v>
      </c>
      <c r="AL134" s="280">
        <v>0</v>
      </c>
      <c r="AM134" s="280">
        <v>0</v>
      </c>
      <c r="AN134" s="280">
        <v>0</v>
      </c>
      <c r="AO134" s="280">
        <v>0</v>
      </c>
      <c r="AP134" s="280">
        <v>0</v>
      </c>
      <c r="AQ134" s="281">
        <v>0</v>
      </c>
      <c r="AR134" s="288">
        <v>0</v>
      </c>
      <c r="AS134" s="280">
        <v>0</v>
      </c>
      <c r="AT134" s="280">
        <v>0</v>
      </c>
      <c r="AU134" s="280">
        <v>0</v>
      </c>
      <c r="AV134" s="280">
        <v>0</v>
      </c>
      <c r="AW134" s="280">
        <v>0</v>
      </c>
      <c r="AX134" s="280">
        <v>0</v>
      </c>
      <c r="AY134" s="281">
        <v>0</v>
      </c>
      <c r="AZ134" s="288">
        <v>0</v>
      </c>
      <c r="BA134" s="280">
        <v>0</v>
      </c>
      <c r="BB134" s="280">
        <v>0</v>
      </c>
      <c r="BC134" s="280">
        <v>0</v>
      </c>
      <c r="BD134" s="280">
        <v>0</v>
      </c>
      <c r="BE134" s="280">
        <v>0</v>
      </c>
      <c r="BF134" s="280">
        <v>0</v>
      </c>
      <c r="BG134" s="281">
        <v>0</v>
      </c>
      <c r="BH134" s="288">
        <v>0</v>
      </c>
      <c r="BI134" s="280">
        <v>0</v>
      </c>
      <c r="BJ134" s="280">
        <v>0</v>
      </c>
      <c r="BK134" s="280">
        <v>0</v>
      </c>
      <c r="BL134" s="280">
        <v>0</v>
      </c>
      <c r="BM134" s="280">
        <v>0</v>
      </c>
      <c r="BN134" s="280">
        <v>0</v>
      </c>
      <c r="BO134" s="281">
        <v>0</v>
      </c>
      <c r="BP134" s="288">
        <v>0</v>
      </c>
      <c r="BQ134" s="280">
        <v>0</v>
      </c>
      <c r="BR134" s="280">
        <v>0</v>
      </c>
      <c r="BS134" s="280">
        <v>0</v>
      </c>
      <c r="BT134" s="280">
        <v>0</v>
      </c>
      <c r="BU134" s="280">
        <v>0</v>
      </c>
      <c r="BV134" s="280">
        <v>0</v>
      </c>
      <c r="BW134" s="281">
        <v>0</v>
      </c>
      <c r="BX134" s="288">
        <v>0</v>
      </c>
      <c r="BY134" s="280">
        <v>0</v>
      </c>
      <c r="BZ134" s="280">
        <v>0</v>
      </c>
      <c r="CA134" s="280">
        <v>0</v>
      </c>
      <c r="CB134" s="280">
        <v>0</v>
      </c>
      <c r="CC134" s="280">
        <v>0</v>
      </c>
      <c r="CD134" s="280">
        <v>0</v>
      </c>
      <c r="CE134" s="281">
        <v>0</v>
      </c>
      <c r="CF134" s="288">
        <v>0</v>
      </c>
      <c r="CG134" s="280">
        <v>0</v>
      </c>
      <c r="CH134" s="280">
        <v>0</v>
      </c>
      <c r="CI134" s="280">
        <v>0</v>
      </c>
      <c r="CJ134" s="280">
        <v>0</v>
      </c>
      <c r="CK134" s="280">
        <v>0</v>
      </c>
      <c r="CL134" s="280">
        <v>0</v>
      </c>
      <c r="CM134" s="281">
        <v>0</v>
      </c>
      <c r="CN134" s="288">
        <v>0</v>
      </c>
      <c r="CO134" s="280">
        <v>0</v>
      </c>
      <c r="CP134" s="280">
        <v>0</v>
      </c>
      <c r="CQ134" s="280">
        <v>0</v>
      </c>
      <c r="CR134" s="280">
        <v>0</v>
      </c>
      <c r="CS134" s="280">
        <v>0</v>
      </c>
      <c r="CT134" s="280">
        <v>0</v>
      </c>
      <c r="CU134" s="281">
        <v>0</v>
      </c>
      <c r="CV134" s="288">
        <v>0</v>
      </c>
      <c r="CW134" s="280">
        <v>0</v>
      </c>
      <c r="CX134" s="280">
        <v>0</v>
      </c>
      <c r="CY134" s="280">
        <v>0</v>
      </c>
      <c r="CZ134" s="280">
        <v>0</v>
      </c>
      <c r="DA134" s="280">
        <v>0</v>
      </c>
      <c r="DB134" s="280">
        <v>0</v>
      </c>
      <c r="DC134" s="281">
        <v>0</v>
      </c>
      <c r="DD134" s="288">
        <v>0</v>
      </c>
      <c r="DE134" s="280">
        <v>0</v>
      </c>
      <c r="DF134" s="280">
        <v>0</v>
      </c>
      <c r="DG134" s="280">
        <v>0</v>
      </c>
      <c r="DH134" s="280">
        <v>0</v>
      </c>
      <c r="DI134" s="280">
        <v>0</v>
      </c>
      <c r="DJ134" s="280">
        <v>0</v>
      </c>
      <c r="DK134" s="281">
        <v>0</v>
      </c>
      <c r="DL134" s="288">
        <v>0</v>
      </c>
      <c r="DM134" s="280">
        <v>0</v>
      </c>
      <c r="DN134" s="280">
        <v>0</v>
      </c>
      <c r="DO134" s="280">
        <v>0</v>
      </c>
      <c r="DP134" s="280">
        <v>0</v>
      </c>
      <c r="DQ134" s="280">
        <v>0</v>
      </c>
      <c r="DR134" s="280">
        <v>0</v>
      </c>
      <c r="DS134" s="281">
        <v>0</v>
      </c>
      <c r="DT134" s="30"/>
      <c r="DU134" s="30" t="s">
        <v>249</v>
      </c>
      <c r="DV134" s="262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6"/>
      <c r="EI134" s="266"/>
      <c r="EJ134" s="266"/>
      <c r="EK134" s="266"/>
      <c r="EL134" s="266"/>
      <c r="EM134" s="283" t="s">
        <v>342</v>
      </c>
    </row>
    <row r="135" spans="1:143" ht="10.5">
      <c r="A135" s="35" t="s">
        <v>89</v>
      </c>
      <c r="B135" s="30"/>
      <c r="C135" s="16" t="s">
        <v>409</v>
      </c>
      <c r="D135" s="288">
        <v>0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  <c r="K135" s="281">
        <v>0</v>
      </c>
      <c r="L135" s="288">
        <v>0</v>
      </c>
      <c r="M135" s="280">
        <v>0</v>
      </c>
      <c r="N135" s="280">
        <v>0</v>
      </c>
      <c r="O135" s="280">
        <v>0</v>
      </c>
      <c r="P135" s="280">
        <v>0</v>
      </c>
      <c r="Q135" s="280">
        <v>0</v>
      </c>
      <c r="R135" s="280">
        <v>0</v>
      </c>
      <c r="S135" s="281">
        <v>0</v>
      </c>
      <c r="T135" s="288">
        <v>0</v>
      </c>
      <c r="U135" s="280">
        <v>0</v>
      </c>
      <c r="V135" s="280">
        <v>0</v>
      </c>
      <c r="W135" s="280">
        <v>0</v>
      </c>
      <c r="X135" s="280">
        <v>0</v>
      </c>
      <c r="Y135" s="280">
        <v>0</v>
      </c>
      <c r="Z135" s="280">
        <v>0</v>
      </c>
      <c r="AA135" s="281">
        <v>0</v>
      </c>
      <c r="AB135" s="288">
        <v>0</v>
      </c>
      <c r="AC135" s="280">
        <v>0</v>
      </c>
      <c r="AD135" s="280">
        <v>0</v>
      </c>
      <c r="AE135" s="280">
        <v>0</v>
      </c>
      <c r="AF135" s="280">
        <v>0</v>
      </c>
      <c r="AG135" s="280">
        <v>0</v>
      </c>
      <c r="AH135" s="280">
        <v>0</v>
      </c>
      <c r="AI135" s="281">
        <v>0</v>
      </c>
      <c r="AJ135" s="288">
        <v>0</v>
      </c>
      <c r="AK135" s="280">
        <v>0</v>
      </c>
      <c r="AL135" s="280">
        <v>0</v>
      </c>
      <c r="AM135" s="280">
        <v>0</v>
      </c>
      <c r="AN135" s="280">
        <v>0</v>
      </c>
      <c r="AO135" s="280">
        <v>0</v>
      </c>
      <c r="AP135" s="280">
        <v>0</v>
      </c>
      <c r="AQ135" s="281">
        <v>0</v>
      </c>
      <c r="AR135" s="288">
        <v>0</v>
      </c>
      <c r="AS135" s="280">
        <v>0</v>
      </c>
      <c r="AT135" s="280">
        <v>0</v>
      </c>
      <c r="AU135" s="280">
        <v>0</v>
      </c>
      <c r="AV135" s="280">
        <v>0</v>
      </c>
      <c r="AW135" s="280">
        <v>0</v>
      </c>
      <c r="AX135" s="280">
        <v>0</v>
      </c>
      <c r="AY135" s="281">
        <v>0</v>
      </c>
      <c r="AZ135" s="288">
        <v>0</v>
      </c>
      <c r="BA135" s="280">
        <v>0</v>
      </c>
      <c r="BB135" s="280">
        <v>0</v>
      </c>
      <c r="BC135" s="280">
        <v>0</v>
      </c>
      <c r="BD135" s="280">
        <v>0</v>
      </c>
      <c r="BE135" s="280">
        <v>0</v>
      </c>
      <c r="BF135" s="280">
        <v>0</v>
      </c>
      <c r="BG135" s="281">
        <v>0</v>
      </c>
      <c r="BH135" s="288">
        <v>0</v>
      </c>
      <c r="BI135" s="280">
        <v>0</v>
      </c>
      <c r="BJ135" s="280">
        <v>0</v>
      </c>
      <c r="BK135" s="280">
        <v>0</v>
      </c>
      <c r="BL135" s="280">
        <v>0</v>
      </c>
      <c r="BM135" s="280">
        <v>0</v>
      </c>
      <c r="BN135" s="280">
        <v>0</v>
      </c>
      <c r="BO135" s="281">
        <v>0</v>
      </c>
      <c r="BP135" s="288">
        <v>0</v>
      </c>
      <c r="BQ135" s="280">
        <v>0</v>
      </c>
      <c r="BR135" s="280">
        <v>0</v>
      </c>
      <c r="BS135" s="280">
        <v>0</v>
      </c>
      <c r="BT135" s="280">
        <v>0</v>
      </c>
      <c r="BU135" s="280">
        <v>0</v>
      </c>
      <c r="BV135" s="280">
        <v>0</v>
      </c>
      <c r="BW135" s="281">
        <v>0</v>
      </c>
      <c r="BX135" s="288">
        <v>0</v>
      </c>
      <c r="BY135" s="280">
        <v>0</v>
      </c>
      <c r="BZ135" s="280">
        <v>0</v>
      </c>
      <c r="CA135" s="280">
        <v>0</v>
      </c>
      <c r="CB135" s="280">
        <v>0</v>
      </c>
      <c r="CC135" s="280">
        <v>0</v>
      </c>
      <c r="CD135" s="280">
        <v>0</v>
      </c>
      <c r="CE135" s="281">
        <v>0</v>
      </c>
      <c r="CF135" s="288">
        <v>0</v>
      </c>
      <c r="CG135" s="280">
        <v>0</v>
      </c>
      <c r="CH135" s="280">
        <v>0</v>
      </c>
      <c r="CI135" s="280">
        <v>0</v>
      </c>
      <c r="CJ135" s="280">
        <v>0</v>
      </c>
      <c r="CK135" s="280">
        <v>0</v>
      </c>
      <c r="CL135" s="280">
        <v>0</v>
      </c>
      <c r="CM135" s="281">
        <v>0</v>
      </c>
      <c r="CN135" s="288">
        <v>0</v>
      </c>
      <c r="CO135" s="280">
        <v>0</v>
      </c>
      <c r="CP135" s="280">
        <v>0</v>
      </c>
      <c r="CQ135" s="280">
        <v>0</v>
      </c>
      <c r="CR135" s="280">
        <v>0</v>
      </c>
      <c r="CS135" s="280">
        <v>0</v>
      </c>
      <c r="CT135" s="280">
        <v>0</v>
      </c>
      <c r="CU135" s="281">
        <v>0</v>
      </c>
      <c r="CV135" s="288">
        <v>0</v>
      </c>
      <c r="CW135" s="280">
        <v>0</v>
      </c>
      <c r="CX135" s="280">
        <v>0</v>
      </c>
      <c r="CY135" s="280">
        <v>0</v>
      </c>
      <c r="CZ135" s="280">
        <v>0</v>
      </c>
      <c r="DA135" s="280">
        <v>0</v>
      </c>
      <c r="DB135" s="280">
        <v>0</v>
      </c>
      <c r="DC135" s="281">
        <v>0</v>
      </c>
      <c r="DD135" s="288">
        <v>0</v>
      </c>
      <c r="DE135" s="280">
        <v>0</v>
      </c>
      <c r="DF135" s="280">
        <v>0</v>
      </c>
      <c r="DG135" s="280">
        <v>0</v>
      </c>
      <c r="DH135" s="280">
        <v>0</v>
      </c>
      <c r="DI135" s="280">
        <v>0</v>
      </c>
      <c r="DJ135" s="280">
        <v>0</v>
      </c>
      <c r="DK135" s="281">
        <v>0</v>
      </c>
      <c r="DL135" s="288">
        <v>0</v>
      </c>
      <c r="DM135" s="280">
        <v>0</v>
      </c>
      <c r="DN135" s="280">
        <v>0</v>
      </c>
      <c r="DO135" s="280">
        <v>0</v>
      </c>
      <c r="DP135" s="280">
        <v>0</v>
      </c>
      <c r="DQ135" s="280">
        <v>0</v>
      </c>
      <c r="DR135" s="280">
        <v>0</v>
      </c>
      <c r="DS135" s="281">
        <v>0</v>
      </c>
      <c r="DT135" s="30"/>
      <c r="DU135" s="30" t="s">
        <v>249</v>
      </c>
      <c r="DV135" s="262"/>
      <c r="DW135" s="263"/>
      <c r="DX135" s="263"/>
      <c r="DY135" s="263"/>
      <c r="DZ135" s="263"/>
      <c r="EA135" s="263"/>
      <c r="EB135" s="263"/>
      <c r="EC135" s="263"/>
      <c r="ED135" s="263"/>
      <c r="EE135" s="263"/>
      <c r="EF135" s="263"/>
      <c r="EG135" s="263"/>
      <c r="EH135" s="266"/>
      <c r="EI135" s="266"/>
      <c r="EJ135" s="266"/>
      <c r="EK135" s="266"/>
      <c r="EL135" s="266"/>
      <c r="EM135" s="283" t="s">
        <v>342</v>
      </c>
    </row>
    <row r="136" spans="1:143" ht="10.5">
      <c r="A136" s="35" t="s">
        <v>89</v>
      </c>
      <c r="B136" s="30"/>
      <c r="C136" s="16" t="s">
        <v>410</v>
      </c>
      <c r="D136" s="288">
        <v>0</v>
      </c>
      <c r="E136" s="280">
        <v>0</v>
      </c>
      <c r="F136" s="280">
        <v>0</v>
      </c>
      <c r="G136" s="280">
        <v>0</v>
      </c>
      <c r="H136" s="280">
        <v>0</v>
      </c>
      <c r="I136" s="280">
        <v>0</v>
      </c>
      <c r="J136" s="280">
        <v>0</v>
      </c>
      <c r="K136" s="281">
        <v>0</v>
      </c>
      <c r="L136" s="288">
        <v>0</v>
      </c>
      <c r="M136" s="280">
        <v>0</v>
      </c>
      <c r="N136" s="280">
        <v>0</v>
      </c>
      <c r="O136" s="280">
        <v>0</v>
      </c>
      <c r="P136" s="280">
        <v>0</v>
      </c>
      <c r="Q136" s="280">
        <v>0</v>
      </c>
      <c r="R136" s="280">
        <v>0</v>
      </c>
      <c r="S136" s="281">
        <v>0</v>
      </c>
      <c r="T136" s="288">
        <v>0</v>
      </c>
      <c r="U136" s="280">
        <v>0</v>
      </c>
      <c r="V136" s="280">
        <v>0</v>
      </c>
      <c r="W136" s="280">
        <v>0</v>
      </c>
      <c r="X136" s="280">
        <v>0</v>
      </c>
      <c r="Y136" s="280">
        <v>0</v>
      </c>
      <c r="Z136" s="280">
        <v>0</v>
      </c>
      <c r="AA136" s="281">
        <v>0</v>
      </c>
      <c r="AB136" s="288">
        <v>0</v>
      </c>
      <c r="AC136" s="280">
        <v>0</v>
      </c>
      <c r="AD136" s="280">
        <v>0</v>
      </c>
      <c r="AE136" s="280">
        <v>0</v>
      </c>
      <c r="AF136" s="280">
        <v>0</v>
      </c>
      <c r="AG136" s="280">
        <v>0</v>
      </c>
      <c r="AH136" s="280">
        <v>0</v>
      </c>
      <c r="AI136" s="281">
        <v>0</v>
      </c>
      <c r="AJ136" s="288">
        <v>0</v>
      </c>
      <c r="AK136" s="280">
        <v>0</v>
      </c>
      <c r="AL136" s="280">
        <v>0</v>
      </c>
      <c r="AM136" s="280">
        <v>0</v>
      </c>
      <c r="AN136" s="280">
        <v>0</v>
      </c>
      <c r="AO136" s="280">
        <v>0</v>
      </c>
      <c r="AP136" s="280">
        <v>0</v>
      </c>
      <c r="AQ136" s="281">
        <v>0</v>
      </c>
      <c r="AR136" s="288">
        <v>0</v>
      </c>
      <c r="AS136" s="280">
        <v>0</v>
      </c>
      <c r="AT136" s="280">
        <v>0</v>
      </c>
      <c r="AU136" s="280">
        <v>0</v>
      </c>
      <c r="AV136" s="280">
        <v>0</v>
      </c>
      <c r="AW136" s="280">
        <v>0</v>
      </c>
      <c r="AX136" s="280">
        <v>0</v>
      </c>
      <c r="AY136" s="281">
        <v>0</v>
      </c>
      <c r="AZ136" s="288">
        <v>0</v>
      </c>
      <c r="BA136" s="280">
        <v>0</v>
      </c>
      <c r="BB136" s="280">
        <v>0</v>
      </c>
      <c r="BC136" s="280">
        <v>0</v>
      </c>
      <c r="BD136" s="280">
        <v>0</v>
      </c>
      <c r="BE136" s="280">
        <v>0</v>
      </c>
      <c r="BF136" s="280">
        <v>0</v>
      </c>
      <c r="BG136" s="281">
        <v>0</v>
      </c>
      <c r="BH136" s="288">
        <v>0</v>
      </c>
      <c r="BI136" s="280">
        <v>0</v>
      </c>
      <c r="BJ136" s="280">
        <v>0</v>
      </c>
      <c r="BK136" s="280">
        <v>0</v>
      </c>
      <c r="BL136" s="280">
        <v>0</v>
      </c>
      <c r="BM136" s="280">
        <v>0</v>
      </c>
      <c r="BN136" s="280">
        <v>0</v>
      </c>
      <c r="BO136" s="281">
        <v>0</v>
      </c>
      <c r="BP136" s="288">
        <v>0</v>
      </c>
      <c r="BQ136" s="280">
        <v>0</v>
      </c>
      <c r="BR136" s="280">
        <v>0</v>
      </c>
      <c r="BS136" s="280">
        <v>0</v>
      </c>
      <c r="BT136" s="280">
        <v>0</v>
      </c>
      <c r="BU136" s="280">
        <v>0</v>
      </c>
      <c r="BV136" s="280">
        <v>0</v>
      </c>
      <c r="BW136" s="281">
        <v>0</v>
      </c>
      <c r="BX136" s="288">
        <v>0</v>
      </c>
      <c r="BY136" s="280">
        <v>0</v>
      </c>
      <c r="BZ136" s="280">
        <v>0</v>
      </c>
      <c r="CA136" s="280">
        <v>0</v>
      </c>
      <c r="CB136" s="280">
        <v>0</v>
      </c>
      <c r="CC136" s="280">
        <v>0</v>
      </c>
      <c r="CD136" s="280">
        <v>0</v>
      </c>
      <c r="CE136" s="281">
        <v>0</v>
      </c>
      <c r="CF136" s="288">
        <v>0</v>
      </c>
      <c r="CG136" s="280">
        <v>0</v>
      </c>
      <c r="CH136" s="280">
        <v>0</v>
      </c>
      <c r="CI136" s="280">
        <v>0</v>
      </c>
      <c r="CJ136" s="280">
        <v>0</v>
      </c>
      <c r="CK136" s="280">
        <v>0</v>
      </c>
      <c r="CL136" s="280">
        <v>0</v>
      </c>
      <c r="CM136" s="281">
        <v>0</v>
      </c>
      <c r="CN136" s="288">
        <v>0</v>
      </c>
      <c r="CO136" s="280">
        <v>0</v>
      </c>
      <c r="CP136" s="280">
        <v>0</v>
      </c>
      <c r="CQ136" s="280">
        <v>0</v>
      </c>
      <c r="CR136" s="280">
        <v>0</v>
      </c>
      <c r="CS136" s="280">
        <v>0</v>
      </c>
      <c r="CT136" s="280">
        <v>0</v>
      </c>
      <c r="CU136" s="281">
        <v>0</v>
      </c>
      <c r="CV136" s="288">
        <v>0</v>
      </c>
      <c r="CW136" s="280">
        <v>0</v>
      </c>
      <c r="CX136" s="280">
        <v>0</v>
      </c>
      <c r="CY136" s="280">
        <v>0</v>
      </c>
      <c r="CZ136" s="280">
        <v>0</v>
      </c>
      <c r="DA136" s="280">
        <v>0</v>
      </c>
      <c r="DB136" s="280">
        <v>0</v>
      </c>
      <c r="DC136" s="281">
        <v>0</v>
      </c>
      <c r="DD136" s="288">
        <v>0</v>
      </c>
      <c r="DE136" s="280">
        <v>0</v>
      </c>
      <c r="DF136" s="280">
        <v>0</v>
      </c>
      <c r="DG136" s="280">
        <v>0</v>
      </c>
      <c r="DH136" s="280">
        <v>0</v>
      </c>
      <c r="DI136" s="280">
        <v>0</v>
      </c>
      <c r="DJ136" s="280">
        <v>0</v>
      </c>
      <c r="DK136" s="281">
        <v>0</v>
      </c>
      <c r="DL136" s="288">
        <v>0</v>
      </c>
      <c r="DM136" s="280">
        <v>0</v>
      </c>
      <c r="DN136" s="280">
        <v>0</v>
      </c>
      <c r="DO136" s="280">
        <v>0</v>
      </c>
      <c r="DP136" s="280">
        <v>0</v>
      </c>
      <c r="DQ136" s="280">
        <v>0</v>
      </c>
      <c r="DR136" s="280">
        <v>0</v>
      </c>
      <c r="DS136" s="281">
        <v>0</v>
      </c>
      <c r="DT136" s="30"/>
      <c r="DU136" s="30" t="s">
        <v>249</v>
      </c>
      <c r="DV136" s="262"/>
      <c r="DW136" s="263"/>
      <c r="DX136" s="263"/>
      <c r="DY136" s="263"/>
      <c r="DZ136" s="263"/>
      <c r="EA136" s="263"/>
      <c r="EB136" s="263"/>
      <c r="EC136" s="263"/>
      <c r="ED136" s="263"/>
      <c r="EE136" s="263"/>
      <c r="EF136" s="263"/>
      <c r="EG136" s="263"/>
      <c r="EH136" s="263"/>
      <c r="EI136" s="263"/>
      <c r="EJ136" s="263"/>
      <c r="EK136" s="263"/>
      <c r="EL136" s="263"/>
      <c r="EM136" s="283" t="s">
        <v>342</v>
      </c>
    </row>
    <row r="137" spans="2:143" ht="10.5">
      <c r="B137" s="30"/>
      <c r="C137" s="46"/>
      <c r="D137" s="297"/>
      <c r="E137" s="46"/>
      <c r="F137" s="46"/>
      <c r="G137" s="46"/>
      <c r="H137" s="46"/>
      <c r="I137" s="46"/>
      <c r="J137" s="46"/>
      <c r="K137" s="283"/>
      <c r="L137" s="297"/>
      <c r="M137" s="46"/>
      <c r="N137" s="46"/>
      <c r="O137" s="46"/>
      <c r="P137" s="46"/>
      <c r="Q137" s="46"/>
      <c r="R137" s="46"/>
      <c r="S137" s="283"/>
      <c r="T137" s="297"/>
      <c r="U137" s="46"/>
      <c r="V137" s="46"/>
      <c r="W137" s="46"/>
      <c r="X137" s="46"/>
      <c r="Y137" s="46"/>
      <c r="Z137" s="46"/>
      <c r="AA137" s="283"/>
      <c r="AB137" s="297"/>
      <c r="AC137" s="46"/>
      <c r="AD137" s="46"/>
      <c r="AE137" s="46"/>
      <c r="AF137" s="46"/>
      <c r="AG137" s="46"/>
      <c r="AH137" s="46"/>
      <c r="AI137" s="283"/>
      <c r="AJ137" s="297"/>
      <c r="AK137" s="46"/>
      <c r="AL137" s="46"/>
      <c r="AM137" s="46"/>
      <c r="AN137" s="46"/>
      <c r="AO137" s="46"/>
      <c r="AP137" s="46"/>
      <c r="AQ137" s="283"/>
      <c r="AR137" s="297"/>
      <c r="AS137" s="46"/>
      <c r="AT137" s="46"/>
      <c r="AU137" s="46"/>
      <c r="AV137" s="46"/>
      <c r="AW137" s="46"/>
      <c r="AX137" s="46"/>
      <c r="AY137" s="283"/>
      <c r="AZ137" s="297"/>
      <c r="BA137" s="46"/>
      <c r="BB137" s="46"/>
      <c r="BC137" s="46"/>
      <c r="BD137" s="46"/>
      <c r="BE137" s="46"/>
      <c r="BF137" s="46"/>
      <c r="BG137" s="283"/>
      <c r="BH137" s="297"/>
      <c r="BI137" s="46"/>
      <c r="BJ137" s="46"/>
      <c r="BK137" s="46"/>
      <c r="BL137" s="46"/>
      <c r="BM137" s="46"/>
      <c r="BN137" s="46"/>
      <c r="BO137" s="283"/>
      <c r="BP137" s="297"/>
      <c r="BQ137" s="46"/>
      <c r="BR137" s="46"/>
      <c r="BS137" s="46"/>
      <c r="BT137" s="46"/>
      <c r="BU137" s="46"/>
      <c r="BV137" s="46"/>
      <c r="BW137" s="283"/>
      <c r="BX137" s="297"/>
      <c r="BY137" s="46"/>
      <c r="BZ137" s="46"/>
      <c r="CA137" s="46"/>
      <c r="CB137" s="46"/>
      <c r="CC137" s="46"/>
      <c r="CD137" s="46"/>
      <c r="CE137" s="283"/>
      <c r="CF137" s="297"/>
      <c r="CG137" s="46"/>
      <c r="CH137" s="46"/>
      <c r="CI137" s="46"/>
      <c r="CJ137" s="46"/>
      <c r="CK137" s="46"/>
      <c r="CL137" s="46"/>
      <c r="CM137" s="283"/>
      <c r="CN137" s="297"/>
      <c r="CO137" s="46"/>
      <c r="CP137" s="46"/>
      <c r="CQ137" s="46"/>
      <c r="CR137" s="46"/>
      <c r="CS137" s="46"/>
      <c r="CT137" s="46"/>
      <c r="CU137" s="283"/>
      <c r="CV137" s="297"/>
      <c r="CW137" s="46"/>
      <c r="CX137" s="46"/>
      <c r="CY137" s="46"/>
      <c r="CZ137" s="46"/>
      <c r="DA137" s="46"/>
      <c r="DB137" s="46"/>
      <c r="DC137" s="283"/>
      <c r="DD137" s="297"/>
      <c r="DE137" s="46"/>
      <c r="DF137" s="46"/>
      <c r="DG137" s="46"/>
      <c r="DH137" s="46"/>
      <c r="DI137" s="46"/>
      <c r="DJ137" s="46"/>
      <c r="DK137" s="283"/>
      <c r="DL137" s="297"/>
      <c r="DM137" s="46"/>
      <c r="DN137" s="46"/>
      <c r="DO137" s="46"/>
      <c r="DP137" s="46"/>
      <c r="DQ137" s="46"/>
      <c r="DR137" s="46"/>
      <c r="DS137" s="283"/>
      <c r="DT137" s="30"/>
      <c r="DU137" s="30"/>
      <c r="DV137" s="262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83" t="s">
        <v>342</v>
      </c>
    </row>
    <row r="138" spans="1:143" ht="10.5">
      <c r="A138" s="35" t="s">
        <v>62</v>
      </c>
      <c r="B138" s="30" t="s">
        <v>63</v>
      </c>
      <c r="C138" s="47" t="s">
        <v>411</v>
      </c>
      <c r="D138" s="288">
        <v>0</v>
      </c>
      <c r="E138" s="280">
        <v>0</v>
      </c>
      <c r="F138" s="280">
        <v>0</v>
      </c>
      <c r="G138" s="280">
        <v>0</v>
      </c>
      <c r="H138" s="280">
        <v>0</v>
      </c>
      <c r="I138" s="280">
        <v>0</v>
      </c>
      <c r="J138" s="280">
        <v>0</v>
      </c>
      <c r="K138" s="281">
        <v>0</v>
      </c>
      <c r="L138" s="288">
        <v>0</v>
      </c>
      <c r="M138" s="280">
        <v>0</v>
      </c>
      <c r="N138" s="280">
        <v>0</v>
      </c>
      <c r="O138" s="280">
        <v>0</v>
      </c>
      <c r="P138" s="280">
        <v>0</v>
      </c>
      <c r="Q138" s="280">
        <v>0</v>
      </c>
      <c r="R138" s="280">
        <v>0</v>
      </c>
      <c r="S138" s="281">
        <v>0</v>
      </c>
      <c r="T138" s="288">
        <v>0</v>
      </c>
      <c r="U138" s="280">
        <v>0</v>
      </c>
      <c r="V138" s="280">
        <v>0</v>
      </c>
      <c r="W138" s="280">
        <v>0</v>
      </c>
      <c r="X138" s="280">
        <v>0</v>
      </c>
      <c r="Y138" s="280">
        <v>0</v>
      </c>
      <c r="Z138" s="280">
        <v>0</v>
      </c>
      <c r="AA138" s="281">
        <v>0</v>
      </c>
      <c r="AB138" s="288">
        <v>0</v>
      </c>
      <c r="AC138" s="280">
        <v>0</v>
      </c>
      <c r="AD138" s="280">
        <v>0</v>
      </c>
      <c r="AE138" s="280">
        <v>0</v>
      </c>
      <c r="AF138" s="280">
        <v>0</v>
      </c>
      <c r="AG138" s="280">
        <v>0</v>
      </c>
      <c r="AH138" s="280">
        <v>0</v>
      </c>
      <c r="AI138" s="281">
        <v>0</v>
      </c>
      <c r="AJ138" s="288">
        <v>0</v>
      </c>
      <c r="AK138" s="280">
        <v>0</v>
      </c>
      <c r="AL138" s="280">
        <v>0</v>
      </c>
      <c r="AM138" s="280">
        <v>0</v>
      </c>
      <c r="AN138" s="280">
        <v>0</v>
      </c>
      <c r="AO138" s="280">
        <v>0</v>
      </c>
      <c r="AP138" s="280">
        <v>0</v>
      </c>
      <c r="AQ138" s="281">
        <v>0</v>
      </c>
      <c r="AR138" s="288">
        <v>0</v>
      </c>
      <c r="AS138" s="280">
        <v>0</v>
      </c>
      <c r="AT138" s="280">
        <v>0</v>
      </c>
      <c r="AU138" s="280">
        <v>0</v>
      </c>
      <c r="AV138" s="280">
        <v>0</v>
      </c>
      <c r="AW138" s="280">
        <v>0</v>
      </c>
      <c r="AX138" s="280">
        <v>0</v>
      </c>
      <c r="AY138" s="281">
        <v>0</v>
      </c>
      <c r="AZ138" s="288">
        <v>0</v>
      </c>
      <c r="BA138" s="280">
        <v>0</v>
      </c>
      <c r="BB138" s="280">
        <v>0</v>
      </c>
      <c r="BC138" s="280">
        <v>0</v>
      </c>
      <c r="BD138" s="280">
        <v>0</v>
      </c>
      <c r="BE138" s="280">
        <v>0</v>
      </c>
      <c r="BF138" s="280">
        <v>0</v>
      </c>
      <c r="BG138" s="281">
        <v>0</v>
      </c>
      <c r="BH138" s="288">
        <v>0</v>
      </c>
      <c r="BI138" s="280">
        <v>0</v>
      </c>
      <c r="BJ138" s="280">
        <v>0</v>
      </c>
      <c r="BK138" s="280">
        <v>0</v>
      </c>
      <c r="BL138" s="280">
        <v>0</v>
      </c>
      <c r="BM138" s="280">
        <v>0</v>
      </c>
      <c r="BN138" s="280">
        <v>0</v>
      </c>
      <c r="BO138" s="281">
        <v>0</v>
      </c>
      <c r="BP138" s="288">
        <v>0</v>
      </c>
      <c r="BQ138" s="280">
        <v>0</v>
      </c>
      <c r="BR138" s="280">
        <v>0</v>
      </c>
      <c r="BS138" s="280">
        <v>0</v>
      </c>
      <c r="BT138" s="280">
        <v>0</v>
      </c>
      <c r="BU138" s="280">
        <v>0</v>
      </c>
      <c r="BV138" s="280">
        <v>0</v>
      </c>
      <c r="BW138" s="281">
        <v>0</v>
      </c>
      <c r="BX138" s="288">
        <v>0</v>
      </c>
      <c r="BY138" s="280">
        <v>0</v>
      </c>
      <c r="BZ138" s="280">
        <v>0</v>
      </c>
      <c r="CA138" s="280">
        <v>0</v>
      </c>
      <c r="CB138" s="280">
        <v>0</v>
      </c>
      <c r="CC138" s="280">
        <v>0</v>
      </c>
      <c r="CD138" s="280">
        <v>0</v>
      </c>
      <c r="CE138" s="281">
        <v>0</v>
      </c>
      <c r="CF138" s="288">
        <v>0</v>
      </c>
      <c r="CG138" s="280">
        <v>0</v>
      </c>
      <c r="CH138" s="280">
        <v>0</v>
      </c>
      <c r="CI138" s="280">
        <v>0</v>
      </c>
      <c r="CJ138" s="280">
        <v>0</v>
      </c>
      <c r="CK138" s="280">
        <v>0</v>
      </c>
      <c r="CL138" s="280">
        <v>0</v>
      </c>
      <c r="CM138" s="281">
        <v>0</v>
      </c>
      <c r="CN138" s="288">
        <v>0</v>
      </c>
      <c r="CO138" s="280">
        <v>0</v>
      </c>
      <c r="CP138" s="280">
        <v>0</v>
      </c>
      <c r="CQ138" s="280">
        <v>0</v>
      </c>
      <c r="CR138" s="280">
        <v>0</v>
      </c>
      <c r="CS138" s="280">
        <v>0</v>
      </c>
      <c r="CT138" s="280">
        <v>0</v>
      </c>
      <c r="CU138" s="281">
        <v>0</v>
      </c>
      <c r="CV138" s="288">
        <v>0</v>
      </c>
      <c r="CW138" s="280">
        <v>0</v>
      </c>
      <c r="CX138" s="280">
        <v>0</v>
      </c>
      <c r="CY138" s="280">
        <v>0</v>
      </c>
      <c r="CZ138" s="280">
        <v>0</v>
      </c>
      <c r="DA138" s="280">
        <v>0</v>
      </c>
      <c r="DB138" s="280">
        <v>0</v>
      </c>
      <c r="DC138" s="281">
        <v>0</v>
      </c>
      <c r="DD138" s="288">
        <v>0</v>
      </c>
      <c r="DE138" s="280">
        <v>0</v>
      </c>
      <c r="DF138" s="280">
        <v>0</v>
      </c>
      <c r="DG138" s="280">
        <v>0</v>
      </c>
      <c r="DH138" s="280">
        <v>0</v>
      </c>
      <c r="DI138" s="280">
        <v>0</v>
      </c>
      <c r="DJ138" s="280">
        <v>0</v>
      </c>
      <c r="DK138" s="281">
        <v>0</v>
      </c>
      <c r="DL138" s="288">
        <v>0</v>
      </c>
      <c r="DM138" s="280">
        <v>0</v>
      </c>
      <c r="DN138" s="280">
        <v>0</v>
      </c>
      <c r="DO138" s="280">
        <v>0</v>
      </c>
      <c r="DP138" s="280">
        <v>0</v>
      </c>
      <c r="DQ138" s="280">
        <v>0</v>
      </c>
      <c r="DR138" s="280">
        <v>0</v>
      </c>
      <c r="DS138" s="281">
        <v>0</v>
      </c>
      <c r="DT138" s="30"/>
      <c r="DU138" s="30" t="s">
        <v>249</v>
      </c>
      <c r="DV138" s="262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83" t="s">
        <v>342</v>
      </c>
    </row>
    <row r="139" spans="1:143" ht="10.5">
      <c r="A139" s="35" t="s">
        <v>49</v>
      </c>
      <c r="B139" s="30" t="s">
        <v>63</v>
      </c>
      <c r="C139" s="47" t="s">
        <v>412</v>
      </c>
      <c r="D139" s="288">
        <v>0</v>
      </c>
      <c r="E139" s="280">
        <v>0</v>
      </c>
      <c r="F139" s="280">
        <v>0</v>
      </c>
      <c r="G139" s="280">
        <v>0</v>
      </c>
      <c r="H139" s="280">
        <v>0</v>
      </c>
      <c r="I139" s="280">
        <v>0</v>
      </c>
      <c r="J139" s="280">
        <v>0</v>
      </c>
      <c r="K139" s="281">
        <v>0</v>
      </c>
      <c r="L139" s="288">
        <v>0</v>
      </c>
      <c r="M139" s="280">
        <v>0</v>
      </c>
      <c r="N139" s="280">
        <v>0</v>
      </c>
      <c r="O139" s="280">
        <v>0</v>
      </c>
      <c r="P139" s="280">
        <v>0</v>
      </c>
      <c r="Q139" s="280">
        <v>0</v>
      </c>
      <c r="R139" s="280">
        <v>0</v>
      </c>
      <c r="S139" s="281">
        <v>0</v>
      </c>
      <c r="T139" s="288">
        <v>0</v>
      </c>
      <c r="U139" s="280">
        <v>0</v>
      </c>
      <c r="V139" s="280">
        <v>0</v>
      </c>
      <c r="W139" s="280">
        <v>0</v>
      </c>
      <c r="X139" s="280">
        <v>0</v>
      </c>
      <c r="Y139" s="280">
        <v>0</v>
      </c>
      <c r="Z139" s="280">
        <v>0</v>
      </c>
      <c r="AA139" s="281">
        <v>0</v>
      </c>
      <c r="AB139" s="288">
        <v>0</v>
      </c>
      <c r="AC139" s="280">
        <v>0</v>
      </c>
      <c r="AD139" s="280">
        <v>0</v>
      </c>
      <c r="AE139" s="280">
        <v>0</v>
      </c>
      <c r="AF139" s="280">
        <v>0</v>
      </c>
      <c r="AG139" s="280">
        <v>0</v>
      </c>
      <c r="AH139" s="280">
        <v>0</v>
      </c>
      <c r="AI139" s="281">
        <v>0</v>
      </c>
      <c r="AJ139" s="288">
        <v>0</v>
      </c>
      <c r="AK139" s="280">
        <v>0</v>
      </c>
      <c r="AL139" s="280">
        <v>0</v>
      </c>
      <c r="AM139" s="280">
        <v>0</v>
      </c>
      <c r="AN139" s="280">
        <v>0</v>
      </c>
      <c r="AO139" s="280">
        <v>0</v>
      </c>
      <c r="AP139" s="280">
        <v>0</v>
      </c>
      <c r="AQ139" s="281">
        <v>0</v>
      </c>
      <c r="AR139" s="288">
        <v>0</v>
      </c>
      <c r="AS139" s="280">
        <v>0</v>
      </c>
      <c r="AT139" s="280">
        <v>0</v>
      </c>
      <c r="AU139" s="280">
        <v>0</v>
      </c>
      <c r="AV139" s="280">
        <v>0</v>
      </c>
      <c r="AW139" s="280">
        <v>0</v>
      </c>
      <c r="AX139" s="280">
        <v>0</v>
      </c>
      <c r="AY139" s="281">
        <v>0</v>
      </c>
      <c r="AZ139" s="288">
        <v>0</v>
      </c>
      <c r="BA139" s="280">
        <v>0</v>
      </c>
      <c r="BB139" s="280">
        <v>0</v>
      </c>
      <c r="BC139" s="280">
        <v>0</v>
      </c>
      <c r="BD139" s="280">
        <v>0</v>
      </c>
      <c r="BE139" s="280">
        <v>0</v>
      </c>
      <c r="BF139" s="280">
        <v>0</v>
      </c>
      <c r="BG139" s="281">
        <v>0</v>
      </c>
      <c r="BH139" s="288">
        <v>0</v>
      </c>
      <c r="BI139" s="280">
        <v>0</v>
      </c>
      <c r="BJ139" s="280">
        <v>0</v>
      </c>
      <c r="BK139" s="280">
        <v>0</v>
      </c>
      <c r="BL139" s="280">
        <v>0</v>
      </c>
      <c r="BM139" s="280">
        <v>0</v>
      </c>
      <c r="BN139" s="280">
        <v>0</v>
      </c>
      <c r="BO139" s="281">
        <v>0</v>
      </c>
      <c r="BP139" s="288">
        <v>0</v>
      </c>
      <c r="BQ139" s="280">
        <v>0</v>
      </c>
      <c r="BR139" s="280">
        <v>0</v>
      </c>
      <c r="BS139" s="280">
        <v>0</v>
      </c>
      <c r="BT139" s="280">
        <v>0</v>
      </c>
      <c r="BU139" s="280">
        <v>0</v>
      </c>
      <c r="BV139" s="280">
        <v>0</v>
      </c>
      <c r="BW139" s="281">
        <v>0</v>
      </c>
      <c r="BX139" s="288">
        <v>0</v>
      </c>
      <c r="BY139" s="280">
        <v>0</v>
      </c>
      <c r="BZ139" s="280">
        <v>0</v>
      </c>
      <c r="CA139" s="280">
        <v>0</v>
      </c>
      <c r="CB139" s="280">
        <v>0</v>
      </c>
      <c r="CC139" s="280">
        <v>0</v>
      </c>
      <c r="CD139" s="280">
        <v>0</v>
      </c>
      <c r="CE139" s="281">
        <v>0</v>
      </c>
      <c r="CF139" s="288">
        <v>0</v>
      </c>
      <c r="CG139" s="280">
        <v>0</v>
      </c>
      <c r="CH139" s="280">
        <v>0</v>
      </c>
      <c r="CI139" s="280">
        <v>0</v>
      </c>
      <c r="CJ139" s="280">
        <v>0</v>
      </c>
      <c r="CK139" s="280">
        <v>0</v>
      </c>
      <c r="CL139" s="280">
        <v>0</v>
      </c>
      <c r="CM139" s="281">
        <v>0</v>
      </c>
      <c r="CN139" s="288">
        <v>0</v>
      </c>
      <c r="CO139" s="280">
        <v>0</v>
      </c>
      <c r="CP139" s="280">
        <v>0</v>
      </c>
      <c r="CQ139" s="280">
        <v>0</v>
      </c>
      <c r="CR139" s="280">
        <v>0</v>
      </c>
      <c r="CS139" s="280">
        <v>0</v>
      </c>
      <c r="CT139" s="280">
        <v>0</v>
      </c>
      <c r="CU139" s="281">
        <v>0</v>
      </c>
      <c r="CV139" s="288">
        <v>0</v>
      </c>
      <c r="CW139" s="280">
        <v>0</v>
      </c>
      <c r="CX139" s="280">
        <v>0</v>
      </c>
      <c r="CY139" s="280">
        <v>0</v>
      </c>
      <c r="CZ139" s="280">
        <v>0</v>
      </c>
      <c r="DA139" s="280">
        <v>0</v>
      </c>
      <c r="DB139" s="280">
        <v>0</v>
      </c>
      <c r="DC139" s="281">
        <v>0</v>
      </c>
      <c r="DD139" s="288">
        <v>0</v>
      </c>
      <c r="DE139" s="280">
        <v>0</v>
      </c>
      <c r="DF139" s="280">
        <v>0</v>
      </c>
      <c r="DG139" s="280">
        <v>0</v>
      </c>
      <c r="DH139" s="280">
        <v>0</v>
      </c>
      <c r="DI139" s="280">
        <v>0</v>
      </c>
      <c r="DJ139" s="280">
        <v>0</v>
      </c>
      <c r="DK139" s="281">
        <v>0</v>
      </c>
      <c r="DL139" s="288">
        <v>0</v>
      </c>
      <c r="DM139" s="280">
        <v>0</v>
      </c>
      <c r="DN139" s="280">
        <v>0</v>
      </c>
      <c r="DO139" s="280">
        <v>0</v>
      </c>
      <c r="DP139" s="280">
        <v>0</v>
      </c>
      <c r="DQ139" s="280">
        <v>0</v>
      </c>
      <c r="DR139" s="280">
        <v>0</v>
      </c>
      <c r="DS139" s="281">
        <v>0</v>
      </c>
      <c r="DT139" s="30"/>
      <c r="DU139" s="30" t="s">
        <v>249</v>
      </c>
      <c r="DV139" s="301"/>
      <c r="DW139" s="302"/>
      <c r="DX139" s="302"/>
      <c r="DY139" s="302"/>
      <c r="DZ139" s="302"/>
      <c r="EA139" s="302"/>
      <c r="EB139" s="302"/>
      <c r="EC139" s="302"/>
      <c r="ED139" s="302"/>
      <c r="EE139" s="302"/>
      <c r="EF139" s="302"/>
      <c r="EG139" s="302"/>
      <c r="EH139" s="302"/>
      <c r="EI139" s="302"/>
      <c r="EJ139" s="302"/>
      <c r="EK139" s="302"/>
      <c r="EL139" s="302"/>
      <c r="EM139" s="294" t="s">
        <v>342</v>
      </c>
    </row>
    <row r="140" spans="1:125" ht="10.5">
      <c r="A140" s="53" t="s">
        <v>143</v>
      </c>
      <c r="D140" s="298" t="s">
        <v>342</v>
      </c>
      <c r="E140" s="299" t="s">
        <v>342</v>
      </c>
      <c r="F140" s="299" t="s">
        <v>342</v>
      </c>
      <c r="G140" s="299" t="s">
        <v>342</v>
      </c>
      <c r="H140" s="299" t="s">
        <v>342</v>
      </c>
      <c r="I140" s="299" t="s">
        <v>342</v>
      </c>
      <c r="J140" s="299" t="s">
        <v>342</v>
      </c>
      <c r="K140" s="300" t="s">
        <v>342</v>
      </c>
      <c r="L140" s="298" t="s">
        <v>342</v>
      </c>
      <c r="M140" s="299" t="s">
        <v>342</v>
      </c>
      <c r="N140" s="299" t="s">
        <v>342</v>
      </c>
      <c r="O140" s="299" t="s">
        <v>342</v>
      </c>
      <c r="P140" s="299" t="s">
        <v>342</v>
      </c>
      <c r="Q140" s="299" t="s">
        <v>342</v>
      </c>
      <c r="R140" s="299" t="s">
        <v>342</v>
      </c>
      <c r="S140" s="300" t="s">
        <v>342</v>
      </c>
      <c r="T140" s="298" t="s">
        <v>342</v>
      </c>
      <c r="U140" s="299" t="s">
        <v>342</v>
      </c>
      <c r="V140" s="299" t="s">
        <v>342</v>
      </c>
      <c r="W140" s="299" t="s">
        <v>342</v>
      </c>
      <c r="X140" s="299" t="s">
        <v>342</v>
      </c>
      <c r="Y140" s="299" t="s">
        <v>342</v>
      </c>
      <c r="Z140" s="299" t="s">
        <v>342</v>
      </c>
      <c r="AA140" s="300" t="s">
        <v>342</v>
      </c>
      <c r="AB140" s="298" t="s">
        <v>342</v>
      </c>
      <c r="AC140" s="299" t="s">
        <v>342</v>
      </c>
      <c r="AD140" s="299" t="s">
        <v>342</v>
      </c>
      <c r="AE140" s="299" t="s">
        <v>342</v>
      </c>
      <c r="AF140" s="299" t="s">
        <v>342</v>
      </c>
      <c r="AG140" s="299" t="s">
        <v>342</v>
      </c>
      <c r="AH140" s="299" t="s">
        <v>342</v>
      </c>
      <c r="AI140" s="300" t="s">
        <v>342</v>
      </c>
      <c r="AJ140" s="298" t="s">
        <v>342</v>
      </c>
      <c r="AK140" s="299" t="s">
        <v>342</v>
      </c>
      <c r="AL140" s="299" t="s">
        <v>342</v>
      </c>
      <c r="AM140" s="299" t="s">
        <v>342</v>
      </c>
      <c r="AN140" s="299" t="s">
        <v>342</v>
      </c>
      <c r="AO140" s="299" t="s">
        <v>342</v>
      </c>
      <c r="AP140" s="299" t="s">
        <v>342</v>
      </c>
      <c r="AQ140" s="300" t="s">
        <v>342</v>
      </c>
      <c r="AR140" s="298" t="s">
        <v>342</v>
      </c>
      <c r="AS140" s="299" t="s">
        <v>342</v>
      </c>
      <c r="AT140" s="299" t="s">
        <v>342</v>
      </c>
      <c r="AU140" s="299" t="s">
        <v>342</v>
      </c>
      <c r="AV140" s="299" t="s">
        <v>342</v>
      </c>
      <c r="AW140" s="299" t="s">
        <v>342</v>
      </c>
      <c r="AX140" s="299" t="s">
        <v>342</v>
      </c>
      <c r="AY140" s="300" t="s">
        <v>342</v>
      </c>
      <c r="AZ140" s="298" t="s">
        <v>342</v>
      </c>
      <c r="BA140" s="299" t="s">
        <v>342</v>
      </c>
      <c r="BB140" s="299" t="s">
        <v>342</v>
      </c>
      <c r="BC140" s="299" t="s">
        <v>342</v>
      </c>
      <c r="BD140" s="299" t="s">
        <v>342</v>
      </c>
      <c r="BE140" s="299" t="s">
        <v>342</v>
      </c>
      <c r="BF140" s="299" t="s">
        <v>342</v>
      </c>
      <c r="BG140" s="300" t="s">
        <v>342</v>
      </c>
      <c r="BH140" s="298" t="s">
        <v>342</v>
      </c>
      <c r="BI140" s="299" t="s">
        <v>342</v>
      </c>
      <c r="BJ140" s="299" t="s">
        <v>342</v>
      </c>
      <c r="BK140" s="299" t="s">
        <v>342</v>
      </c>
      <c r="BL140" s="299" t="s">
        <v>342</v>
      </c>
      <c r="BM140" s="299" t="s">
        <v>342</v>
      </c>
      <c r="BN140" s="299" t="s">
        <v>342</v>
      </c>
      <c r="BO140" s="300" t="s">
        <v>342</v>
      </c>
      <c r="BP140" s="298" t="s">
        <v>342</v>
      </c>
      <c r="BQ140" s="299" t="s">
        <v>342</v>
      </c>
      <c r="BR140" s="299" t="s">
        <v>342</v>
      </c>
      <c r="BS140" s="299" t="s">
        <v>342</v>
      </c>
      <c r="BT140" s="299" t="s">
        <v>342</v>
      </c>
      <c r="BU140" s="299" t="s">
        <v>342</v>
      </c>
      <c r="BV140" s="299" t="s">
        <v>342</v>
      </c>
      <c r="BW140" s="300" t="s">
        <v>342</v>
      </c>
      <c r="BX140" s="298" t="s">
        <v>342</v>
      </c>
      <c r="BY140" s="299" t="s">
        <v>342</v>
      </c>
      <c r="BZ140" s="299" t="s">
        <v>342</v>
      </c>
      <c r="CA140" s="299" t="s">
        <v>342</v>
      </c>
      <c r="CB140" s="299" t="s">
        <v>342</v>
      </c>
      <c r="CC140" s="299" t="s">
        <v>342</v>
      </c>
      <c r="CD140" s="299" t="s">
        <v>342</v>
      </c>
      <c r="CE140" s="300" t="s">
        <v>342</v>
      </c>
      <c r="CF140" s="298" t="s">
        <v>342</v>
      </c>
      <c r="CG140" s="299" t="s">
        <v>342</v>
      </c>
      <c r="CH140" s="299" t="s">
        <v>342</v>
      </c>
      <c r="CI140" s="299" t="s">
        <v>342</v>
      </c>
      <c r="CJ140" s="299" t="s">
        <v>342</v>
      </c>
      <c r="CK140" s="299" t="s">
        <v>342</v>
      </c>
      <c r="CL140" s="299" t="s">
        <v>342</v>
      </c>
      <c r="CM140" s="300" t="s">
        <v>342</v>
      </c>
      <c r="CN140" s="298" t="s">
        <v>342</v>
      </c>
      <c r="CO140" s="299" t="s">
        <v>342</v>
      </c>
      <c r="CP140" s="299" t="s">
        <v>342</v>
      </c>
      <c r="CQ140" s="299" t="s">
        <v>342</v>
      </c>
      <c r="CR140" s="299" t="s">
        <v>342</v>
      </c>
      <c r="CS140" s="299" t="s">
        <v>342</v>
      </c>
      <c r="CT140" s="299" t="s">
        <v>342</v>
      </c>
      <c r="CU140" s="300" t="s">
        <v>342</v>
      </c>
      <c r="CV140" s="298" t="s">
        <v>342</v>
      </c>
      <c r="CW140" s="299" t="s">
        <v>342</v>
      </c>
      <c r="CX140" s="299" t="s">
        <v>342</v>
      </c>
      <c r="CY140" s="299" t="s">
        <v>342</v>
      </c>
      <c r="CZ140" s="299" t="s">
        <v>342</v>
      </c>
      <c r="DA140" s="299" t="s">
        <v>342</v>
      </c>
      <c r="DB140" s="299" t="s">
        <v>342</v>
      </c>
      <c r="DC140" s="300" t="s">
        <v>342</v>
      </c>
      <c r="DD140" s="298" t="s">
        <v>342</v>
      </c>
      <c r="DE140" s="299" t="s">
        <v>342</v>
      </c>
      <c r="DF140" s="299" t="s">
        <v>342</v>
      </c>
      <c r="DG140" s="299" t="s">
        <v>342</v>
      </c>
      <c r="DH140" s="299" t="s">
        <v>342</v>
      </c>
      <c r="DI140" s="299" t="s">
        <v>342</v>
      </c>
      <c r="DJ140" s="299" t="s">
        <v>342</v>
      </c>
      <c r="DK140" s="300" t="s">
        <v>342</v>
      </c>
      <c r="DL140" s="298" t="s">
        <v>342</v>
      </c>
      <c r="DM140" s="299" t="s">
        <v>342</v>
      </c>
      <c r="DN140" s="299" t="s">
        <v>342</v>
      </c>
      <c r="DO140" s="299" t="s">
        <v>342</v>
      </c>
      <c r="DP140" s="299" t="s">
        <v>342</v>
      </c>
      <c r="DQ140" s="299" t="s">
        <v>342</v>
      </c>
      <c r="DR140" s="299" t="s">
        <v>342</v>
      </c>
      <c r="DS140" s="300" t="s">
        <v>342</v>
      </c>
      <c r="DU140" s="30"/>
    </row>
    <row r="141" ht="10.5">
      <c r="DU141" s="30"/>
    </row>
    <row r="142" ht="10.5">
      <c r="DU142" s="30"/>
    </row>
    <row r="143" ht="10.5">
      <c r="DU143" s="30"/>
    </row>
  </sheetData>
  <printOptions/>
  <pageMargins left="0.75" right="0.75" top="0.66" bottom="1.31" header="0.5" footer="0.5"/>
  <pageSetup fitToWidth="5" fitToHeight="1" horizontalDpi="300" verticalDpi="300" orientation="landscape" paperSize="8" scale="46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76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2.75"/>
  <cols>
    <col min="1" max="1" width="30.625" style="27" customWidth="1"/>
    <col min="2" max="2" width="18.25390625" style="27" bestFit="1" customWidth="1"/>
    <col min="3" max="3" width="13.625" style="27" customWidth="1"/>
    <col min="4" max="14" width="11.25390625" style="27" bestFit="1" customWidth="1"/>
    <col min="15" max="15" width="15.875" style="27" bestFit="1" customWidth="1"/>
    <col min="16" max="16" width="12.375" style="27" bestFit="1" customWidth="1"/>
    <col min="17" max="16384" width="9.125" style="27" customWidth="1"/>
  </cols>
  <sheetData>
    <row r="1" ht="13.5" thickBot="1">
      <c r="A1" s="54" t="s">
        <v>53</v>
      </c>
    </row>
    <row r="2" spans="1:14" ht="10.5">
      <c r="A2" s="55" t="s">
        <v>87</v>
      </c>
      <c r="B2" s="56"/>
      <c r="C2" s="56">
        <v>39448</v>
      </c>
      <c r="D2" s="56">
        <v>39479</v>
      </c>
      <c r="E2" s="56">
        <v>39508</v>
      </c>
      <c r="F2" s="56">
        <v>39539</v>
      </c>
      <c r="G2" s="56">
        <v>39569</v>
      </c>
      <c r="H2" s="56">
        <v>39600</v>
      </c>
      <c r="I2" s="56">
        <v>39630</v>
      </c>
      <c r="J2" s="56">
        <v>39661</v>
      </c>
      <c r="K2" s="56">
        <v>39692</v>
      </c>
      <c r="L2" s="56">
        <v>39722</v>
      </c>
      <c r="M2" s="56">
        <v>39753</v>
      </c>
      <c r="N2" s="56">
        <v>39783</v>
      </c>
    </row>
    <row r="3" spans="1:14" ht="10.5">
      <c r="A3" s="57" t="s">
        <v>54</v>
      </c>
      <c r="B3" s="456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4" ht="10.5">
      <c r="A4" s="611" t="s">
        <v>55</v>
      </c>
      <c r="B4" s="61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0.5">
      <c r="A5" s="611" t="s">
        <v>211</v>
      </c>
      <c r="B5" s="61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0.5">
      <c r="A6" s="57" t="s">
        <v>56</v>
      </c>
      <c r="B6" s="45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0.5">
      <c r="A7" s="57" t="s">
        <v>57</v>
      </c>
      <c r="B7" s="45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10.5">
      <c r="A8" s="333"/>
      <c r="B8" s="458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334"/>
    </row>
    <row r="9" spans="1:14" ht="10.5">
      <c r="A9" s="335" t="s">
        <v>88</v>
      </c>
      <c r="B9" s="459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258"/>
    </row>
    <row r="10" spans="1:14" ht="10.5">
      <c r="A10" s="62" t="s">
        <v>80</v>
      </c>
      <c r="B10" s="4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10.5">
      <c r="A11" s="62" t="s">
        <v>36</v>
      </c>
      <c r="B11" s="4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1:14" ht="10.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spans="1:14" ht="10.5">
      <c r="A13" s="66" t="s">
        <v>168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5" ht="13.5" thickBot="1">
      <c r="A15" s="54" t="s">
        <v>316</v>
      </c>
    </row>
    <row r="16" spans="1:13" ht="10.5">
      <c r="A16" s="55" t="s">
        <v>87</v>
      </c>
      <c r="B16" s="56">
        <v>39448</v>
      </c>
      <c r="C16" s="56">
        <v>39479</v>
      </c>
      <c r="D16" s="56">
        <v>39508</v>
      </c>
      <c r="E16" s="56">
        <v>39539</v>
      </c>
      <c r="F16" s="56">
        <v>39569</v>
      </c>
      <c r="G16" s="56">
        <v>39600</v>
      </c>
      <c r="H16" s="56">
        <v>39630</v>
      </c>
      <c r="I16" s="56">
        <v>39661</v>
      </c>
      <c r="J16" s="56">
        <v>39692</v>
      </c>
      <c r="K16" s="56">
        <v>39722</v>
      </c>
      <c r="L16" s="56">
        <v>39753</v>
      </c>
      <c r="M16" s="56">
        <v>39783</v>
      </c>
    </row>
    <row r="17" spans="1:13" ht="21">
      <c r="A17" s="57" t="s">
        <v>272</v>
      </c>
      <c r="B17" s="69" t="e">
        <f>(БДР!C6/1000)/Баланс!C20</f>
        <v>#DIV/0!</v>
      </c>
      <c r="C17" s="69" t="e">
        <f>(БДР!D6/1000)/Баланс!D20</f>
        <v>#DIV/0!</v>
      </c>
      <c r="D17" s="69" t="e">
        <f>(БДР!E6/1000)/Баланс!E20</f>
        <v>#DIV/0!</v>
      </c>
      <c r="E17" s="69" t="e">
        <f>(БДР!F6/1000)/Баланс!F20</f>
        <v>#DIV/0!</v>
      </c>
      <c r="F17" s="69" t="e">
        <f>(БДР!G6/1000)/Баланс!G20</f>
        <v>#DIV/0!</v>
      </c>
      <c r="G17" s="69" t="e">
        <f>(БДР!H6/1000)/Баланс!H20</f>
        <v>#DIV/0!</v>
      </c>
      <c r="H17" s="69" t="e">
        <f>(БДР!I6/1000)/Баланс!I20</f>
        <v>#DIV/0!</v>
      </c>
      <c r="I17" s="69" t="e">
        <f>(БДР!J6/1000)/Баланс!J20</f>
        <v>#DIV/0!</v>
      </c>
      <c r="J17" s="69" t="e">
        <f>(БДР!K6/1000)/Баланс!K20</f>
        <v>#DIV/0!</v>
      </c>
      <c r="K17" s="69" t="e">
        <f>(БДР!L6/1000)/Баланс!L20</f>
        <v>#DIV/0!</v>
      </c>
      <c r="L17" s="69" t="e">
        <f>(БДР!M6/1000)/Баланс!M20</f>
        <v>#DIV/0!</v>
      </c>
      <c r="M17" s="70" t="e">
        <f>(БДР!N6/1000)/Баланс!N20</f>
        <v>#DIV/0!</v>
      </c>
    </row>
    <row r="18" spans="1:13" ht="31.5">
      <c r="A18" s="57" t="s">
        <v>273</v>
      </c>
      <c r="B18" s="69" t="e">
        <f>(БДР!C6/1000)/Баланс!C37</f>
        <v>#DIV/0!</v>
      </c>
      <c r="C18" s="69" t="e">
        <f>(БДР!D6/1000)/Баланс!D37</f>
        <v>#DIV/0!</v>
      </c>
      <c r="D18" s="69" t="e">
        <f>(БДР!E6/1000)/Баланс!E37</f>
        <v>#DIV/0!</v>
      </c>
      <c r="E18" s="69" t="e">
        <f>(БДР!F6/1000)/Баланс!F37</f>
        <v>#DIV/0!</v>
      </c>
      <c r="F18" s="69" t="e">
        <f>(БДР!G6/1000)/Баланс!G37</f>
        <v>#DIV/0!</v>
      </c>
      <c r="G18" s="69" t="e">
        <f>(БДР!H6/1000)/Баланс!H37</f>
        <v>#DIV/0!</v>
      </c>
      <c r="H18" s="69" t="e">
        <f>(БДР!I6/1000)/Баланс!I37</f>
        <v>#DIV/0!</v>
      </c>
      <c r="I18" s="69" t="e">
        <f>(БДР!J6/1000)/Баланс!J37</f>
        <v>#DIV/0!</v>
      </c>
      <c r="J18" s="69" t="e">
        <f>(БДР!K6/1000)/Баланс!K37</f>
        <v>#DIV/0!</v>
      </c>
      <c r="K18" s="69" t="e">
        <f>(БДР!L6/1000)/Баланс!L37</f>
        <v>#DIV/0!</v>
      </c>
      <c r="L18" s="69" t="e">
        <f>(БДР!M6/1000)/Баланс!M37</f>
        <v>#DIV/0!</v>
      </c>
      <c r="M18" s="70" t="e">
        <f>(БДР!N6/1000)/Баланс!N37</f>
        <v>#DIV/0!</v>
      </c>
    </row>
    <row r="19" spans="1:13" ht="52.5">
      <c r="A19" s="57" t="s">
        <v>274</v>
      </c>
      <c r="B19" s="69" t="e">
        <f>(БДР!C6/1000)/Баланс!C37</f>
        <v>#DIV/0!</v>
      </c>
      <c r="C19" s="69" t="e">
        <f>(БДР!D6/1000)/Баланс!D37</f>
        <v>#DIV/0!</v>
      </c>
      <c r="D19" s="69" t="e">
        <f>(БДР!E6/1000)/Баланс!E37</f>
        <v>#DIV/0!</v>
      </c>
      <c r="E19" s="69" t="e">
        <f>(БДР!F6/1000)/Баланс!F37</f>
        <v>#DIV/0!</v>
      </c>
      <c r="F19" s="69" t="e">
        <f>(БДР!G6/1000)/Баланс!G37</f>
        <v>#DIV/0!</v>
      </c>
      <c r="G19" s="69" t="e">
        <f>(БДР!H6/1000)/Баланс!H37</f>
        <v>#DIV/0!</v>
      </c>
      <c r="H19" s="69" t="e">
        <f>(БДР!I6/1000)/Баланс!I37</f>
        <v>#DIV/0!</v>
      </c>
      <c r="I19" s="69" t="e">
        <f>(БДР!J6/1000)/Баланс!J37</f>
        <v>#DIV/0!</v>
      </c>
      <c r="J19" s="69" t="e">
        <f>(БДР!K6/1000)/Баланс!K37</f>
        <v>#DIV/0!</v>
      </c>
      <c r="K19" s="69" t="e">
        <f>(БДР!L6/1000)/Баланс!L37</f>
        <v>#DIV/0!</v>
      </c>
      <c r="L19" s="69" t="e">
        <f>(БДР!M6/1000)/Баланс!M37</f>
        <v>#DIV/0!</v>
      </c>
      <c r="M19" s="70" t="e">
        <f>(БДР!N6/1000)/Баланс!N37</f>
        <v>#DIV/0!</v>
      </c>
    </row>
    <row r="20" spans="1:13" ht="10.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0.5">
      <c r="A21" s="65" t="s">
        <v>270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</row>
    <row r="22" spans="1:13" ht="10.5">
      <c r="A22" s="62" t="s">
        <v>80</v>
      </c>
      <c r="B22" s="71" t="e">
        <f>(БДР!C6/1000)/Баланс!C19</f>
        <v>#DIV/0!</v>
      </c>
      <c r="C22" s="71" t="e">
        <f>(БДР!D6/1000)/Баланс!D19</f>
        <v>#DIV/0!</v>
      </c>
      <c r="D22" s="71" t="e">
        <f>(БДР!E6/1000)/Баланс!E19</f>
        <v>#DIV/0!</v>
      </c>
      <c r="E22" s="71" t="e">
        <f>(БДР!F6/1000)/Баланс!F19</f>
        <v>#DIV/0!</v>
      </c>
      <c r="F22" s="71" t="e">
        <f>(БДР!G6/1000)/Баланс!G19</f>
        <v>#DIV/0!</v>
      </c>
      <c r="G22" s="71" t="e">
        <f>(БДР!H6/1000)/Баланс!H19</f>
        <v>#DIV/0!</v>
      </c>
      <c r="H22" s="71" t="e">
        <f>(БДР!I6/1000)/Баланс!I19</f>
        <v>#DIV/0!</v>
      </c>
      <c r="I22" s="71" t="e">
        <f>(БДР!J6/1000)/Баланс!J19</f>
        <v>#DIV/0!</v>
      </c>
      <c r="J22" s="71" t="e">
        <f>(БДР!K6/1000)/Баланс!K19</f>
        <v>#DIV/0!</v>
      </c>
      <c r="K22" s="71" t="e">
        <f>(БДР!L6/1000)/Баланс!L19</f>
        <v>#DIV/0!</v>
      </c>
      <c r="L22" s="71" t="e">
        <f>(БДР!M6/1000)/Баланс!M19</f>
        <v>#DIV/0!</v>
      </c>
      <c r="M22" s="72" t="e">
        <f>(БДР!N6/1000)/Баланс!N19</f>
        <v>#DIV/0!</v>
      </c>
    </row>
    <row r="23" spans="1:13" ht="10.5">
      <c r="A23" s="62" t="s">
        <v>36</v>
      </c>
      <c r="B23" s="71" t="e">
        <f>(БДР!C6/1000)/Баланс!C18</f>
        <v>#DIV/0!</v>
      </c>
      <c r="C23" s="71" t="e">
        <f>(БДР!D6/1000)/Баланс!D18</f>
        <v>#DIV/0!</v>
      </c>
      <c r="D23" s="71" t="e">
        <f>(БДР!E6/1000)/Баланс!E18</f>
        <v>#DIV/0!</v>
      </c>
      <c r="E23" s="71" t="e">
        <f>(БДР!F6/1000)/Баланс!F18</f>
        <v>#DIV/0!</v>
      </c>
      <c r="F23" s="71" t="e">
        <f>(БДР!G6/1000)/Баланс!G18</f>
        <v>#DIV/0!</v>
      </c>
      <c r="G23" s="71" t="e">
        <f>(БДР!H6/1000)/Баланс!H18</f>
        <v>#DIV/0!</v>
      </c>
      <c r="H23" s="71" t="e">
        <f>(БДР!I6/1000)/Баланс!I18</f>
        <v>#DIV/0!</v>
      </c>
      <c r="I23" s="71" t="e">
        <f>(БДР!J6/1000)/Баланс!J18</f>
        <v>#DIV/0!</v>
      </c>
      <c r="J23" s="71" t="e">
        <f>(БДР!K6/1000)/Баланс!K18</f>
        <v>#DIV/0!</v>
      </c>
      <c r="K23" s="71" t="e">
        <f>(БДР!L6/1000)/Баланс!L18</f>
        <v>#DIV/0!</v>
      </c>
      <c r="L23" s="71" t="e">
        <f>(БДР!M6/1000)/Баланс!M18</f>
        <v>#DIV/0!</v>
      </c>
      <c r="M23" s="72" t="e">
        <f>(БДР!N6/1000)/Баланс!N18</f>
        <v>#DIV/0!</v>
      </c>
    </row>
    <row r="24" spans="2:13" ht="10.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</row>
    <row r="25" spans="1:13" ht="10.5">
      <c r="A25" s="66" t="s">
        <v>271</v>
      </c>
      <c r="B25" s="75" t="e">
        <f>(БДР!C6/1000)/Баланс!C10</f>
        <v>#DIV/0!</v>
      </c>
      <c r="C25" s="75" t="e">
        <f>(БДР!D6/1000)/Баланс!D10</f>
        <v>#DIV/0!</v>
      </c>
      <c r="D25" s="75" t="e">
        <f>(БДР!E6/1000)/Баланс!E10</f>
        <v>#DIV/0!</v>
      </c>
      <c r="E25" s="75" t="e">
        <f>(БДР!F6/1000)/Баланс!F10</f>
        <v>#DIV/0!</v>
      </c>
      <c r="F25" s="75" t="e">
        <f>(БДР!G6/1000)/Баланс!G10</f>
        <v>#DIV/0!</v>
      </c>
      <c r="G25" s="75" t="e">
        <f>(БДР!H6/1000)/Баланс!H10</f>
        <v>#DIV/0!</v>
      </c>
      <c r="H25" s="75" t="e">
        <f>(БДР!I6/1000)/Баланс!I10</f>
        <v>#DIV/0!</v>
      </c>
      <c r="I25" s="75" t="e">
        <f>(БДР!J6/1000)/Баланс!J10</f>
        <v>#DIV/0!</v>
      </c>
      <c r="J25" s="75" t="e">
        <f>(БДР!K6/1000)/Баланс!K10</f>
        <v>#DIV/0!</v>
      </c>
      <c r="K25" s="75" t="e">
        <f>(БДР!L6/1000)/Баланс!L10</f>
        <v>#DIV/0!</v>
      </c>
      <c r="L25" s="75" t="e">
        <f>(БДР!M6/1000)/Баланс!M10</f>
        <v>#DIV/0!</v>
      </c>
      <c r="M25" s="76" t="e">
        <f>(БДР!N6/1000)/Баланс!N10</f>
        <v>#DIV/0!</v>
      </c>
    </row>
    <row r="27" spans="1:15" ht="13.5" thickBot="1">
      <c r="A27" s="77" t="s">
        <v>304</v>
      </c>
      <c r="C27" s="78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79"/>
    </row>
    <row r="28" spans="1:16" ht="10.5">
      <c r="A28" s="80" t="s">
        <v>0</v>
      </c>
      <c r="B28" s="55" t="s">
        <v>87</v>
      </c>
      <c r="C28" s="391">
        <v>2007</v>
      </c>
      <c r="D28" s="56">
        <v>39448</v>
      </c>
      <c r="E28" s="56">
        <v>39480</v>
      </c>
      <c r="F28" s="56">
        <v>39512</v>
      </c>
      <c r="G28" s="56">
        <v>39544</v>
      </c>
      <c r="H28" s="56">
        <v>39576</v>
      </c>
      <c r="I28" s="56">
        <v>39608</v>
      </c>
      <c r="J28" s="56">
        <v>39640</v>
      </c>
      <c r="K28" s="56">
        <v>39672</v>
      </c>
      <c r="L28" s="56">
        <v>39704</v>
      </c>
      <c r="M28" s="56">
        <v>39736</v>
      </c>
      <c r="N28" s="56">
        <v>39768</v>
      </c>
      <c r="O28" s="56">
        <v>39800</v>
      </c>
      <c r="P28" s="56" t="s">
        <v>67</v>
      </c>
    </row>
    <row r="29" spans="1:16" ht="10.5">
      <c r="A29" s="125" t="s">
        <v>250</v>
      </c>
      <c r="B29" s="126" t="str">
        <f>VLOOKUP(A29,Классификаторы!$A:$B,2,FALSE)</f>
        <v>Продукт 1</v>
      </c>
      <c r="C29" s="128">
        <f>SUMIF('Объем пр-ва'!$R$5:$R$64,$A29,'Объем пр-ва'!$D$5:$D$64)*SUMIF('Закупки сырья'!$A$89:$A$283,$B29,'Закупки сырья'!$F$89:$F$284)</f>
        <v>0</v>
      </c>
      <c r="D29" s="128">
        <f>SUMIF('Объем пр-ва'!$R$5:$R$64,$A29,'Объем пр-ва'!$D$5:$D$64)*SUMIF('Закупки сырья'!$A$89:$A$283,$B29,'Закупки сырья'!$F$89:$F$284)</f>
        <v>0</v>
      </c>
      <c r="E29" s="128">
        <f>SUMIF('Объем пр-ва'!$R$5:$R$64,$A29,'Объем пр-ва'!$D$5:$D$64)*SUMIF('Закупки сырья'!$A$89:$A$283,$B29,'Закупки сырья'!$F$89:$F$284)</f>
        <v>0</v>
      </c>
      <c r="F29" s="128">
        <f>SUMIF('Объем пр-ва'!$R$5:$R$64,$A29,'Объем пр-ва'!$D$5:$D$64)*SUMIF('Закупки сырья'!$A$89:$A$283,$B29,'Закупки сырья'!$F$89:$F$284)</f>
        <v>0</v>
      </c>
      <c r="G29" s="128">
        <f>SUMIF('Объем пр-ва'!$R$5:$R$64,$A29,'Объем пр-ва'!$D$5:$D$64)*SUMIF('Закупки сырья'!$A$89:$A$283,$B29,'Закупки сырья'!$F$89:$F$284)</f>
        <v>0</v>
      </c>
      <c r="H29" s="128">
        <f>SUMIF('Объем пр-ва'!$R$5:$R$64,$A29,'Объем пр-ва'!$D$5:$D$64)*SUMIF('Закупки сырья'!$A$89:$A$283,$B29,'Закупки сырья'!$F$89:$F$284)</f>
        <v>0</v>
      </c>
      <c r="I29" s="128">
        <f>SUMIF('Объем пр-ва'!$R$5:$R$64,$A29,'Объем пр-ва'!$D$5:$D$64)*SUMIF('Закупки сырья'!$A$89:$A$283,$B29,'Закупки сырья'!$F$89:$F$284)</f>
        <v>0</v>
      </c>
      <c r="J29" s="128">
        <f>SUMIF('Объем пр-ва'!$R$5:$R$64,$A29,'Объем пр-ва'!$D$5:$D$64)*SUMIF('Закупки сырья'!$A$89:$A$283,$B29,'Закупки сырья'!$F$89:$F$284)</f>
        <v>0</v>
      </c>
      <c r="K29" s="128">
        <f>SUMIF('Объем пр-ва'!$R$5:$R$64,$A29,'Объем пр-ва'!$D$5:$D$64)*SUMIF('Закупки сырья'!$A$89:$A$283,$B29,'Закупки сырья'!$F$89:$F$284)</f>
        <v>0</v>
      </c>
      <c r="L29" s="128">
        <f>SUMIF('Объем пр-ва'!$R$5:$R$64,$A29,'Объем пр-ва'!$D$5:$D$64)*SUMIF('Закупки сырья'!$A$89:$A$283,$B29,'Закупки сырья'!$F$89:$F$284)</f>
        <v>0</v>
      </c>
      <c r="M29" s="128">
        <f>SUMIF('Объем пр-ва'!$R$5:$R$64,$A29,'Объем пр-ва'!$D$5:$D$64)*SUMIF('Закупки сырья'!$A$89:$A$283,$B29,'Закупки сырья'!$F$89:$F$284)</f>
        <v>0</v>
      </c>
      <c r="N29" s="128">
        <f>SUMIF('Объем пр-ва'!$R$5:$R$64,$A29,'Объем пр-ва'!$D$5:$D$64)*SUMIF('Закупки сырья'!$A$89:$A$283,$B29,'Закупки сырья'!$F$89:$F$284)</f>
        <v>0</v>
      </c>
      <c r="O29" s="304">
        <f>SUMIF('Объем пр-ва'!$R$5:$R$64,$A29,'Объем пр-ва'!$D$5:$D$64)*SUMIF('Закупки сырья'!$A$89:$A$283,$B29,'Закупки сырья'!$F$89:$F$284)</f>
        <v>0</v>
      </c>
      <c r="P29" s="192">
        <f aca="true" t="shared" si="0" ref="P29:P43">SUM(D29:O29)</f>
        <v>0</v>
      </c>
    </row>
    <row r="30" spans="1:16" ht="10.5">
      <c r="A30" s="81" t="s">
        <v>251</v>
      </c>
      <c r="B30" s="82" t="str">
        <f>VLOOKUP(A30,Классификаторы!$A:$B,2,FALSE)</f>
        <v>Продукт 2</v>
      </c>
      <c r="C30" s="83">
        <f>SUMIF('Объем пр-ва'!$R$5:$R$64,$A30,'Объем пр-ва'!$D$5:$D$64)*SUMIF('Закупки сырья'!$A$89:$A$283,$B30,'Закупки сырья'!$F$89:$F$284)</f>
        <v>0</v>
      </c>
      <c r="D30" s="83">
        <f>SUMIF('Объем пр-ва'!$R$5:$R$64,$A30,'Объем пр-ва'!$D$5:$D$64)*SUMIF('Закупки сырья'!$A$89:$A$283,$B30,'Закупки сырья'!$F$89:$F$284)</f>
        <v>0</v>
      </c>
      <c r="E30" s="83">
        <f>SUMIF('Объем пр-ва'!$R$5:$R$64,$A30,'Объем пр-ва'!$D$5:$D$64)*SUMIF('Закупки сырья'!$A$89:$A$283,$B30,'Закупки сырья'!$F$89:$F$284)</f>
        <v>0</v>
      </c>
      <c r="F30" s="83">
        <f>SUMIF('Объем пр-ва'!$R$5:$R$64,$A30,'Объем пр-ва'!$D$5:$D$64)*SUMIF('Закупки сырья'!$A$89:$A$283,$B30,'Закупки сырья'!$F$89:$F$284)</f>
        <v>0</v>
      </c>
      <c r="G30" s="83">
        <f>SUMIF('Объем пр-ва'!$R$5:$R$64,$A30,'Объем пр-ва'!$D$5:$D$64)*SUMIF('Закупки сырья'!$A$89:$A$283,$B30,'Закупки сырья'!$F$89:$F$284)</f>
        <v>0</v>
      </c>
      <c r="H30" s="83">
        <f>SUMIF('Объем пр-ва'!$R$5:$R$64,$A30,'Объем пр-ва'!$D$5:$D$64)*SUMIF('Закупки сырья'!$A$89:$A$283,$B30,'Закупки сырья'!$F$89:$F$284)</f>
        <v>0</v>
      </c>
      <c r="I30" s="83">
        <f>SUMIF('Объем пр-ва'!$R$5:$R$64,$A30,'Объем пр-ва'!$D$5:$D$64)*SUMIF('Закупки сырья'!$A$89:$A$283,$B30,'Закупки сырья'!$F$89:$F$284)</f>
        <v>0</v>
      </c>
      <c r="J30" s="83">
        <f>SUMIF('Объем пр-ва'!$R$5:$R$64,$A30,'Объем пр-ва'!$D$5:$D$64)*SUMIF('Закупки сырья'!$A$89:$A$283,$B30,'Закупки сырья'!$F$89:$F$284)</f>
        <v>0</v>
      </c>
      <c r="K30" s="83">
        <f>SUMIF('Объем пр-ва'!$R$5:$R$64,$A30,'Объем пр-ва'!$D$5:$D$64)*SUMIF('Закупки сырья'!$A$89:$A$283,$B30,'Закупки сырья'!$F$89:$F$284)</f>
        <v>0</v>
      </c>
      <c r="L30" s="83">
        <f>SUMIF('Объем пр-ва'!$R$5:$R$64,$A30,'Объем пр-ва'!$D$5:$D$64)*SUMIF('Закупки сырья'!$A$89:$A$283,$B30,'Закупки сырья'!$F$89:$F$284)</f>
        <v>0</v>
      </c>
      <c r="M30" s="83">
        <f>SUMIF('Объем пр-ва'!$R$5:$R$64,$A30,'Объем пр-ва'!$D$5:$D$64)*SUMIF('Закупки сырья'!$A$89:$A$283,$B30,'Закупки сырья'!$F$89:$F$284)</f>
        <v>0</v>
      </c>
      <c r="N30" s="83">
        <f>SUMIF('Объем пр-ва'!$R$5:$R$64,$A30,'Объем пр-ва'!$D$5:$D$64)*SUMIF('Закупки сырья'!$A$89:$A$283,$B30,'Закупки сырья'!$F$89:$F$284)</f>
        <v>0</v>
      </c>
      <c r="O30" s="305">
        <f>SUMIF('Объем пр-ва'!$R$5:$R$64,$A30,'Объем пр-ва'!$D$5:$D$64)*SUMIF('Закупки сырья'!$A$89:$A$283,$B30,'Закупки сырья'!$F$89:$F$284)</f>
        <v>0</v>
      </c>
      <c r="P30" s="194">
        <f t="shared" si="0"/>
        <v>0</v>
      </c>
    </row>
    <row r="31" spans="1:16" ht="10.5">
      <c r="A31" s="81" t="s">
        <v>252</v>
      </c>
      <c r="B31" s="82" t="str">
        <f>VLOOKUP(A31,Классификаторы!$A:$B,2,FALSE)</f>
        <v>Продукт 3</v>
      </c>
      <c r="C31" s="83">
        <f>SUMIF('Объем пр-ва'!$R$5:$R$64,$A31,'Объем пр-ва'!$D$5:$D$64)*SUMIF('Закупки сырья'!$A$89:$A$283,$B31,'Закупки сырья'!$F$89:$F$284)</f>
        <v>0</v>
      </c>
      <c r="D31" s="83">
        <f>SUMIF('Объем пр-ва'!$R$5:$R$64,$A31,'Объем пр-ва'!$D$5:$D$64)*SUMIF('Закупки сырья'!$A$89:$A$283,$B31,'Закупки сырья'!$F$89:$F$284)</f>
        <v>0</v>
      </c>
      <c r="E31" s="83">
        <f>SUMIF('Объем пр-ва'!$R$5:$R$64,$A31,'Объем пр-ва'!$D$5:$D$64)*SUMIF('Закупки сырья'!$A$89:$A$283,$B31,'Закупки сырья'!$F$89:$F$284)</f>
        <v>0</v>
      </c>
      <c r="F31" s="83">
        <f>SUMIF('Объем пр-ва'!$R$5:$R$64,$A31,'Объем пр-ва'!$D$5:$D$64)*SUMIF('Закупки сырья'!$A$89:$A$283,$B31,'Закупки сырья'!$F$89:$F$284)</f>
        <v>0</v>
      </c>
      <c r="G31" s="83">
        <f>SUMIF('Объем пр-ва'!$R$5:$R$64,$A31,'Объем пр-ва'!$D$5:$D$64)*SUMIF('Закупки сырья'!$A$89:$A$283,$B31,'Закупки сырья'!$F$89:$F$284)</f>
        <v>0</v>
      </c>
      <c r="H31" s="83">
        <f>SUMIF('Объем пр-ва'!$R$5:$R$64,$A31,'Объем пр-ва'!$D$5:$D$64)*SUMIF('Закупки сырья'!$A$89:$A$283,$B31,'Закупки сырья'!$F$89:$F$284)</f>
        <v>0</v>
      </c>
      <c r="I31" s="83">
        <f>SUMIF('Объем пр-ва'!$R$5:$R$64,$A31,'Объем пр-ва'!$D$5:$D$64)*SUMIF('Закупки сырья'!$A$89:$A$283,$B31,'Закупки сырья'!$F$89:$F$284)</f>
        <v>0</v>
      </c>
      <c r="J31" s="83">
        <f>SUMIF('Объем пр-ва'!$R$5:$R$64,$A31,'Объем пр-ва'!$D$5:$D$64)*SUMIF('Закупки сырья'!$A$89:$A$283,$B31,'Закупки сырья'!$F$89:$F$284)</f>
        <v>0</v>
      </c>
      <c r="K31" s="83">
        <f>SUMIF('Объем пр-ва'!$R$5:$R$64,$A31,'Объем пр-ва'!$D$5:$D$64)*SUMIF('Закупки сырья'!$A$89:$A$283,$B31,'Закупки сырья'!$F$89:$F$284)</f>
        <v>0</v>
      </c>
      <c r="L31" s="83">
        <f>SUMIF('Объем пр-ва'!$R$5:$R$64,$A31,'Объем пр-ва'!$D$5:$D$64)*SUMIF('Закупки сырья'!$A$89:$A$283,$B31,'Закупки сырья'!$F$89:$F$284)</f>
        <v>0</v>
      </c>
      <c r="M31" s="83">
        <f>SUMIF('Объем пр-ва'!$R$5:$R$64,$A31,'Объем пр-ва'!$D$5:$D$64)*SUMIF('Закупки сырья'!$A$89:$A$283,$B31,'Закупки сырья'!$F$89:$F$284)</f>
        <v>0</v>
      </c>
      <c r="N31" s="83">
        <f>SUMIF('Объем пр-ва'!$R$5:$R$64,$A31,'Объем пр-ва'!$D$5:$D$64)*SUMIF('Закупки сырья'!$A$89:$A$283,$B31,'Закупки сырья'!$F$89:$F$284)</f>
        <v>0</v>
      </c>
      <c r="O31" s="305">
        <f>SUMIF('Объем пр-ва'!$R$5:$R$64,$A31,'Объем пр-ва'!$D$5:$D$64)*SUMIF('Закупки сырья'!$A$89:$A$283,$B31,'Закупки сырья'!$F$89:$F$284)</f>
        <v>0</v>
      </c>
      <c r="P31" s="194">
        <f t="shared" si="0"/>
        <v>0</v>
      </c>
    </row>
    <row r="32" spans="1:16" ht="10.5">
      <c r="A32" s="81" t="s">
        <v>253</v>
      </c>
      <c r="B32" s="82" t="str">
        <f>VLOOKUP(A32,Классификаторы!$A:$B,2,FALSE)</f>
        <v>Продукт 4</v>
      </c>
      <c r="C32" s="83">
        <f>SUMIF('Объем пр-ва'!$R$5:$R$64,$A32,'Объем пр-ва'!$D$5:$D$64)*SUMIF('Закупки сырья'!$A$89:$A$283,$B32,'Закупки сырья'!$F$89:$F$284)</f>
        <v>0</v>
      </c>
      <c r="D32" s="83">
        <f>SUMIF('Объем пр-ва'!$R$5:$R$64,$A32,'Объем пр-ва'!$D$5:$D$64)*SUMIF('Закупки сырья'!$A$89:$A$283,$B32,'Закупки сырья'!$F$89:$F$284)</f>
        <v>0</v>
      </c>
      <c r="E32" s="83">
        <f>SUMIF('Объем пр-ва'!$R$5:$R$64,$A32,'Объем пр-ва'!$D$5:$D$64)*SUMIF('Закупки сырья'!$A$89:$A$283,$B32,'Закупки сырья'!$F$89:$F$284)</f>
        <v>0</v>
      </c>
      <c r="F32" s="83">
        <f>SUMIF('Объем пр-ва'!$R$5:$R$64,$A32,'Объем пр-ва'!$D$5:$D$64)*SUMIF('Закупки сырья'!$A$89:$A$283,$B32,'Закупки сырья'!$F$89:$F$284)</f>
        <v>0</v>
      </c>
      <c r="G32" s="83">
        <f>SUMIF('Объем пр-ва'!$R$5:$R$64,$A32,'Объем пр-ва'!$D$5:$D$64)*SUMIF('Закупки сырья'!$A$89:$A$283,$B32,'Закупки сырья'!$F$89:$F$284)</f>
        <v>0</v>
      </c>
      <c r="H32" s="83">
        <f>SUMIF('Объем пр-ва'!$R$5:$R$64,$A32,'Объем пр-ва'!$D$5:$D$64)*SUMIF('Закупки сырья'!$A$89:$A$283,$B32,'Закупки сырья'!$F$89:$F$284)</f>
        <v>0</v>
      </c>
      <c r="I32" s="83">
        <f>SUMIF('Объем пр-ва'!$R$5:$R$64,$A32,'Объем пр-ва'!$D$5:$D$64)*SUMIF('Закупки сырья'!$A$89:$A$283,$B32,'Закупки сырья'!$F$89:$F$284)</f>
        <v>0</v>
      </c>
      <c r="J32" s="83">
        <f>SUMIF('Объем пр-ва'!$R$5:$R$64,$A32,'Объем пр-ва'!$D$5:$D$64)*SUMIF('Закупки сырья'!$A$89:$A$283,$B32,'Закупки сырья'!$F$89:$F$284)</f>
        <v>0</v>
      </c>
      <c r="K32" s="83">
        <f>SUMIF('Объем пр-ва'!$R$5:$R$64,$A32,'Объем пр-ва'!$D$5:$D$64)*SUMIF('Закупки сырья'!$A$89:$A$283,$B32,'Закупки сырья'!$F$89:$F$284)</f>
        <v>0</v>
      </c>
      <c r="L32" s="83">
        <f>SUMIF('Объем пр-ва'!$R$5:$R$64,$A32,'Объем пр-ва'!$D$5:$D$64)*SUMIF('Закупки сырья'!$A$89:$A$283,$B32,'Закупки сырья'!$F$89:$F$284)</f>
        <v>0</v>
      </c>
      <c r="M32" s="83">
        <f>SUMIF('Объем пр-ва'!$R$5:$R$64,$A32,'Объем пр-ва'!$D$5:$D$64)*SUMIF('Закупки сырья'!$A$89:$A$283,$B32,'Закупки сырья'!$F$89:$F$284)</f>
        <v>0</v>
      </c>
      <c r="N32" s="83">
        <f>SUMIF('Объем пр-ва'!$R$5:$R$64,$A32,'Объем пр-ва'!$D$5:$D$64)*SUMIF('Закупки сырья'!$A$89:$A$283,$B32,'Закупки сырья'!$F$89:$F$284)</f>
        <v>0</v>
      </c>
      <c r="O32" s="305">
        <f>SUMIF('Объем пр-ва'!$R$5:$R$64,$A32,'Объем пр-ва'!$D$5:$D$64)*SUMIF('Закупки сырья'!$A$89:$A$283,$B32,'Закупки сырья'!$F$89:$F$284)</f>
        <v>0</v>
      </c>
      <c r="P32" s="194">
        <f t="shared" si="0"/>
        <v>0</v>
      </c>
    </row>
    <row r="33" spans="1:16" ht="10.5">
      <c r="A33" s="81" t="s">
        <v>254</v>
      </c>
      <c r="B33" s="82" t="str">
        <f>VLOOKUP(A33,Классификаторы!$A:$B,2,FALSE)</f>
        <v>Продукт 5</v>
      </c>
      <c r="C33" s="83">
        <f>SUMIF('Объем пр-ва'!$R$5:$R$64,$A33,'Объем пр-ва'!$D$5:$D$64)*SUMIF('Закупки сырья'!$A$89:$A$283,$B33,'Закупки сырья'!$F$89:$F$284)</f>
        <v>0</v>
      </c>
      <c r="D33" s="83">
        <f>SUMIF('Объем пр-ва'!$R$5:$R$64,$A33,'Объем пр-ва'!$D$5:$D$64)*SUMIF('Закупки сырья'!$A$89:$A$283,$B33,'Закупки сырья'!$F$89:$F$284)</f>
        <v>0</v>
      </c>
      <c r="E33" s="83">
        <f>SUMIF('Объем пр-ва'!$R$5:$R$64,$A33,'Объем пр-ва'!$D$5:$D$64)*SUMIF('Закупки сырья'!$A$89:$A$283,$B33,'Закупки сырья'!$F$89:$F$284)</f>
        <v>0</v>
      </c>
      <c r="F33" s="83">
        <f>SUMIF('Объем пр-ва'!$R$5:$R$64,$A33,'Объем пр-ва'!$D$5:$D$64)*SUMIF('Закупки сырья'!$A$89:$A$283,$B33,'Закупки сырья'!$F$89:$F$284)</f>
        <v>0</v>
      </c>
      <c r="G33" s="83">
        <f>SUMIF('Объем пр-ва'!$R$5:$R$64,$A33,'Объем пр-ва'!$D$5:$D$64)*SUMIF('Закупки сырья'!$A$89:$A$283,$B33,'Закупки сырья'!$F$89:$F$284)</f>
        <v>0</v>
      </c>
      <c r="H33" s="83">
        <f>SUMIF('Объем пр-ва'!$R$5:$R$64,$A33,'Объем пр-ва'!$D$5:$D$64)*SUMIF('Закупки сырья'!$A$89:$A$283,$B33,'Закупки сырья'!$F$89:$F$284)</f>
        <v>0</v>
      </c>
      <c r="I33" s="83">
        <f>SUMIF('Объем пр-ва'!$R$5:$R$64,$A33,'Объем пр-ва'!$D$5:$D$64)*SUMIF('Закупки сырья'!$A$89:$A$283,$B33,'Закупки сырья'!$F$89:$F$284)</f>
        <v>0</v>
      </c>
      <c r="J33" s="83">
        <f>SUMIF('Объем пр-ва'!$R$5:$R$64,$A33,'Объем пр-ва'!$D$5:$D$64)*SUMIF('Закупки сырья'!$A$89:$A$283,$B33,'Закупки сырья'!$F$89:$F$284)</f>
        <v>0</v>
      </c>
      <c r="K33" s="83">
        <f>SUMIF('Объем пр-ва'!$R$5:$R$64,$A33,'Объем пр-ва'!$D$5:$D$64)*SUMIF('Закупки сырья'!$A$89:$A$283,$B33,'Закупки сырья'!$F$89:$F$284)</f>
        <v>0</v>
      </c>
      <c r="L33" s="83">
        <f>SUMIF('Объем пр-ва'!$R$5:$R$64,$A33,'Объем пр-ва'!$D$5:$D$64)*SUMIF('Закупки сырья'!$A$89:$A$283,$B33,'Закупки сырья'!$F$89:$F$284)</f>
        <v>0</v>
      </c>
      <c r="M33" s="83">
        <f>SUMIF('Объем пр-ва'!$R$5:$R$64,$A33,'Объем пр-ва'!$D$5:$D$64)*SUMIF('Закупки сырья'!$A$89:$A$283,$B33,'Закупки сырья'!$F$89:$F$284)</f>
        <v>0</v>
      </c>
      <c r="N33" s="83">
        <f>SUMIF('Объем пр-ва'!$R$5:$R$64,$A33,'Объем пр-ва'!$D$5:$D$64)*SUMIF('Закупки сырья'!$A$89:$A$283,$B33,'Закупки сырья'!$F$89:$F$284)</f>
        <v>0</v>
      </c>
      <c r="O33" s="305">
        <f>SUMIF('Объем пр-ва'!$R$5:$R$64,$A33,'Объем пр-ва'!$D$5:$D$64)*SUMIF('Закупки сырья'!$A$89:$A$283,$B33,'Закупки сырья'!$F$89:$F$284)</f>
        <v>0</v>
      </c>
      <c r="P33" s="194">
        <f t="shared" si="0"/>
        <v>0</v>
      </c>
    </row>
    <row r="34" spans="1:16" ht="10.5">
      <c r="A34" s="81" t="s">
        <v>255</v>
      </c>
      <c r="B34" s="82" t="str">
        <f>VLOOKUP(A34,Классификаторы!$A:$B,2,FALSE)</f>
        <v>Продукт 6</v>
      </c>
      <c r="C34" s="83">
        <f>SUMIF('Объем пр-ва'!$R$5:$R$64,$A34,'Объем пр-ва'!$D$5:$D$64)*SUMIF('Закупки сырья'!$A$89:$A$283,$B34,'Закупки сырья'!$F$89:$F$284)</f>
        <v>0</v>
      </c>
      <c r="D34" s="83">
        <f>SUMIF('Объем пр-ва'!$R$5:$R$64,$A34,'Объем пр-ва'!$D$5:$D$64)*SUMIF('Закупки сырья'!$A$89:$A$283,$B34,'Закупки сырья'!$F$89:$F$284)</f>
        <v>0</v>
      </c>
      <c r="E34" s="83">
        <f>SUMIF('Объем пр-ва'!$R$5:$R$64,$A34,'Объем пр-ва'!$D$5:$D$64)*SUMIF('Закупки сырья'!$A$89:$A$283,$B34,'Закупки сырья'!$F$89:$F$284)</f>
        <v>0</v>
      </c>
      <c r="F34" s="83">
        <f>SUMIF('Объем пр-ва'!$R$5:$R$64,$A34,'Объем пр-ва'!$D$5:$D$64)*SUMIF('Закупки сырья'!$A$89:$A$283,$B34,'Закупки сырья'!$F$89:$F$284)</f>
        <v>0</v>
      </c>
      <c r="G34" s="83">
        <f>SUMIF('Объем пр-ва'!$R$5:$R$64,$A34,'Объем пр-ва'!$D$5:$D$64)*SUMIF('Закупки сырья'!$A$89:$A$283,$B34,'Закупки сырья'!$F$89:$F$284)</f>
        <v>0</v>
      </c>
      <c r="H34" s="83">
        <f>SUMIF('Объем пр-ва'!$R$5:$R$64,$A34,'Объем пр-ва'!$D$5:$D$64)*SUMIF('Закупки сырья'!$A$89:$A$283,$B34,'Закупки сырья'!$F$89:$F$284)</f>
        <v>0</v>
      </c>
      <c r="I34" s="83">
        <f>SUMIF('Объем пр-ва'!$R$5:$R$64,$A34,'Объем пр-ва'!$D$5:$D$64)*SUMIF('Закупки сырья'!$A$89:$A$283,$B34,'Закупки сырья'!$F$89:$F$284)</f>
        <v>0</v>
      </c>
      <c r="J34" s="83">
        <f>SUMIF('Объем пр-ва'!$R$5:$R$64,$A34,'Объем пр-ва'!$D$5:$D$64)*SUMIF('Закупки сырья'!$A$89:$A$283,$B34,'Закупки сырья'!$F$89:$F$284)</f>
        <v>0</v>
      </c>
      <c r="K34" s="83">
        <f>SUMIF('Объем пр-ва'!$R$5:$R$64,$A34,'Объем пр-ва'!$D$5:$D$64)*SUMIF('Закупки сырья'!$A$89:$A$283,$B34,'Закупки сырья'!$F$89:$F$284)</f>
        <v>0</v>
      </c>
      <c r="L34" s="83">
        <f>SUMIF('Объем пр-ва'!$R$5:$R$64,$A34,'Объем пр-ва'!$D$5:$D$64)*SUMIF('Закупки сырья'!$A$89:$A$283,$B34,'Закупки сырья'!$F$89:$F$284)</f>
        <v>0</v>
      </c>
      <c r="M34" s="83">
        <f>SUMIF('Объем пр-ва'!$R$5:$R$64,$A34,'Объем пр-ва'!$D$5:$D$64)*SUMIF('Закупки сырья'!$A$89:$A$283,$B34,'Закупки сырья'!$F$89:$F$284)</f>
        <v>0</v>
      </c>
      <c r="N34" s="83">
        <f>SUMIF('Объем пр-ва'!$R$5:$R$64,$A34,'Объем пр-ва'!$D$5:$D$64)*SUMIF('Закупки сырья'!$A$89:$A$283,$B34,'Закупки сырья'!$F$89:$F$284)</f>
        <v>0</v>
      </c>
      <c r="O34" s="305">
        <f>SUMIF('Объем пр-ва'!$R$5:$R$64,$A34,'Объем пр-ва'!$D$5:$D$64)*SUMIF('Закупки сырья'!$A$89:$A$283,$B34,'Закупки сырья'!$F$89:$F$284)</f>
        <v>0</v>
      </c>
      <c r="P34" s="194">
        <f t="shared" si="0"/>
        <v>0</v>
      </c>
    </row>
    <row r="35" spans="1:16" ht="10.5">
      <c r="A35" s="81" t="s">
        <v>256</v>
      </c>
      <c r="B35" s="82" t="str">
        <f>VLOOKUP(A35,Классификаторы!$A:$B,2,FALSE)</f>
        <v>Продукт 7</v>
      </c>
      <c r="C35" s="83">
        <f>SUMIF('Объем пр-ва'!$R$5:$R$64,$A35,'Объем пр-ва'!$D$5:$D$64)*SUMIF('Закупки сырья'!$A$89:$A$283,$B35,'Закупки сырья'!$F$89:$F$284)</f>
        <v>0</v>
      </c>
      <c r="D35" s="83">
        <f>SUMIF('Объем пр-ва'!$R$5:$R$64,$A35,'Объем пр-ва'!$D$5:$D$64)*SUMIF('Закупки сырья'!$A$89:$A$283,$B35,'Закупки сырья'!$F$89:$F$284)</f>
        <v>0</v>
      </c>
      <c r="E35" s="83">
        <f>SUMIF('Объем пр-ва'!$R$5:$R$64,$A35,'Объем пр-ва'!$D$5:$D$64)*SUMIF('Закупки сырья'!$A$89:$A$283,$B35,'Закупки сырья'!$F$89:$F$284)</f>
        <v>0</v>
      </c>
      <c r="F35" s="83">
        <f>SUMIF('Объем пр-ва'!$R$5:$R$64,$A35,'Объем пр-ва'!$D$5:$D$64)*SUMIF('Закупки сырья'!$A$89:$A$283,$B35,'Закупки сырья'!$F$89:$F$284)</f>
        <v>0</v>
      </c>
      <c r="G35" s="83">
        <f>SUMIF('Объем пр-ва'!$R$5:$R$64,$A35,'Объем пр-ва'!$D$5:$D$64)*SUMIF('Закупки сырья'!$A$89:$A$283,$B35,'Закупки сырья'!$F$89:$F$284)</f>
        <v>0</v>
      </c>
      <c r="H35" s="83">
        <f>SUMIF('Объем пр-ва'!$R$5:$R$64,$A35,'Объем пр-ва'!$D$5:$D$64)*SUMIF('Закупки сырья'!$A$89:$A$283,$B35,'Закупки сырья'!$F$89:$F$284)</f>
        <v>0</v>
      </c>
      <c r="I35" s="83">
        <f>SUMIF('Объем пр-ва'!$R$5:$R$64,$A35,'Объем пр-ва'!$D$5:$D$64)*SUMIF('Закупки сырья'!$A$89:$A$283,$B35,'Закупки сырья'!$F$89:$F$284)</f>
        <v>0</v>
      </c>
      <c r="J35" s="83">
        <f>SUMIF('Объем пр-ва'!$R$5:$R$64,$A35,'Объем пр-ва'!$D$5:$D$64)*SUMIF('Закупки сырья'!$A$89:$A$283,$B35,'Закупки сырья'!$F$89:$F$284)</f>
        <v>0</v>
      </c>
      <c r="K35" s="83">
        <f>SUMIF('Объем пр-ва'!$R$5:$R$64,$A35,'Объем пр-ва'!$D$5:$D$64)*SUMIF('Закупки сырья'!$A$89:$A$283,$B35,'Закупки сырья'!$F$89:$F$284)</f>
        <v>0</v>
      </c>
      <c r="L35" s="83">
        <f>SUMIF('Объем пр-ва'!$R$5:$R$64,$A35,'Объем пр-ва'!$D$5:$D$64)*SUMIF('Закупки сырья'!$A$89:$A$283,$B35,'Закупки сырья'!$F$89:$F$284)</f>
        <v>0</v>
      </c>
      <c r="M35" s="83">
        <f>SUMIF('Объем пр-ва'!$R$5:$R$64,$A35,'Объем пр-ва'!$D$5:$D$64)*SUMIF('Закупки сырья'!$A$89:$A$283,$B35,'Закупки сырья'!$F$89:$F$284)</f>
        <v>0</v>
      </c>
      <c r="N35" s="83">
        <f>SUMIF('Объем пр-ва'!$R$5:$R$64,$A35,'Объем пр-ва'!$D$5:$D$64)*SUMIF('Закупки сырья'!$A$89:$A$283,$B35,'Закупки сырья'!$F$89:$F$284)</f>
        <v>0</v>
      </c>
      <c r="O35" s="305">
        <f>SUMIF('Объем пр-ва'!$R$5:$R$64,$A35,'Объем пр-ва'!$D$5:$D$64)*SUMIF('Закупки сырья'!$A$89:$A$283,$B35,'Закупки сырья'!$F$89:$F$284)</f>
        <v>0</v>
      </c>
      <c r="P35" s="194">
        <f t="shared" si="0"/>
        <v>0</v>
      </c>
    </row>
    <row r="36" spans="1:16" ht="10.5">
      <c r="A36" s="81" t="s">
        <v>257</v>
      </c>
      <c r="B36" s="82" t="str">
        <f>VLOOKUP(A36,Классификаторы!$A:$B,2,FALSE)</f>
        <v>Продукт 8</v>
      </c>
      <c r="C36" s="83">
        <f>SUMIF('Объем пр-ва'!$R$5:$R$64,$A36,'Объем пр-ва'!$D$5:$D$64)*SUMIF('Закупки сырья'!$A$89:$A$283,$B36,'Закупки сырья'!$F$89:$F$284)</f>
        <v>0</v>
      </c>
      <c r="D36" s="83">
        <f>SUMIF('Объем пр-ва'!$R$5:$R$64,$A36,'Объем пр-ва'!$D$5:$D$64)*SUMIF('Закупки сырья'!$A$89:$A$283,$B36,'Закупки сырья'!$F$89:$F$284)</f>
        <v>0</v>
      </c>
      <c r="E36" s="83">
        <f>SUMIF('Объем пр-ва'!$R$5:$R$64,$A36,'Объем пр-ва'!$D$5:$D$64)*SUMIF('Закупки сырья'!$A$89:$A$283,$B36,'Закупки сырья'!$F$89:$F$284)</f>
        <v>0</v>
      </c>
      <c r="F36" s="83">
        <f>SUMIF('Объем пр-ва'!$R$5:$R$64,$A36,'Объем пр-ва'!$D$5:$D$64)*SUMIF('Закупки сырья'!$A$89:$A$283,$B36,'Закупки сырья'!$F$89:$F$284)</f>
        <v>0</v>
      </c>
      <c r="G36" s="83">
        <f>SUMIF('Объем пр-ва'!$R$5:$R$64,$A36,'Объем пр-ва'!$D$5:$D$64)*SUMIF('Закупки сырья'!$A$89:$A$283,$B36,'Закупки сырья'!$F$89:$F$284)</f>
        <v>0</v>
      </c>
      <c r="H36" s="83">
        <f>SUMIF('Объем пр-ва'!$R$5:$R$64,$A36,'Объем пр-ва'!$D$5:$D$64)*SUMIF('Закупки сырья'!$A$89:$A$283,$B36,'Закупки сырья'!$F$89:$F$284)</f>
        <v>0</v>
      </c>
      <c r="I36" s="83">
        <f>SUMIF('Объем пр-ва'!$R$5:$R$64,$A36,'Объем пр-ва'!$D$5:$D$64)*SUMIF('Закупки сырья'!$A$89:$A$283,$B36,'Закупки сырья'!$F$89:$F$284)</f>
        <v>0</v>
      </c>
      <c r="J36" s="83">
        <f>SUMIF('Объем пр-ва'!$R$5:$R$64,$A36,'Объем пр-ва'!$D$5:$D$64)*SUMIF('Закупки сырья'!$A$89:$A$283,$B36,'Закупки сырья'!$F$89:$F$284)</f>
        <v>0</v>
      </c>
      <c r="K36" s="83">
        <f>SUMIF('Объем пр-ва'!$R$5:$R$64,$A36,'Объем пр-ва'!$D$5:$D$64)*SUMIF('Закупки сырья'!$A$89:$A$283,$B36,'Закупки сырья'!$F$89:$F$284)</f>
        <v>0</v>
      </c>
      <c r="L36" s="83">
        <f>SUMIF('Объем пр-ва'!$R$5:$R$64,$A36,'Объем пр-ва'!$D$5:$D$64)*SUMIF('Закупки сырья'!$A$89:$A$283,$B36,'Закупки сырья'!$F$89:$F$284)</f>
        <v>0</v>
      </c>
      <c r="M36" s="83">
        <f>SUMIF('Объем пр-ва'!$R$5:$R$64,$A36,'Объем пр-ва'!$D$5:$D$64)*SUMIF('Закупки сырья'!$A$89:$A$283,$B36,'Закупки сырья'!$F$89:$F$284)</f>
        <v>0</v>
      </c>
      <c r="N36" s="83">
        <f>SUMIF('Объем пр-ва'!$R$5:$R$64,$A36,'Объем пр-ва'!$D$5:$D$64)*SUMIF('Закупки сырья'!$A$89:$A$283,$B36,'Закупки сырья'!$F$89:$F$284)</f>
        <v>0</v>
      </c>
      <c r="O36" s="305">
        <f>SUMIF('Объем пр-ва'!$R$5:$R$64,$A36,'Объем пр-ва'!$D$5:$D$64)*SUMIF('Закупки сырья'!$A$89:$A$283,$B36,'Закупки сырья'!$F$89:$F$284)</f>
        <v>0</v>
      </c>
      <c r="P36" s="194">
        <f t="shared" si="0"/>
        <v>0</v>
      </c>
    </row>
    <row r="37" spans="1:16" ht="10.5">
      <c r="A37" s="81" t="s">
        <v>258</v>
      </c>
      <c r="B37" s="82" t="str">
        <f>VLOOKUP(A37,Классификаторы!$A:$B,2,FALSE)</f>
        <v>Продукт 9</v>
      </c>
      <c r="C37" s="83">
        <f>SUMIF('Объем пр-ва'!$R$5:$R$64,$A37,'Объем пр-ва'!$D$5:$D$64)*SUMIF('Закупки сырья'!$A$89:$A$283,$B37,'Закупки сырья'!$F$89:$F$284)</f>
        <v>0</v>
      </c>
      <c r="D37" s="83">
        <f>SUMIF('Объем пр-ва'!$R$5:$R$64,$A37,'Объем пр-ва'!$D$5:$D$64)*SUMIF('Закупки сырья'!$A$89:$A$283,$B37,'Закупки сырья'!$F$89:$F$284)</f>
        <v>0</v>
      </c>
      <c r="E37" s="83">
        <f>SUMIF('Объем пр-ва'!$R$5:$R$64,$A37,'Объем пр-ва'!$D$5:$D$64)*SUMIF('Закупки сырья'!$A$89:$A$283,$B37,'Закупки сырья'!$F$89:$F$284)</f>
        <v>0</v>
      </c>
      <c r="F37" s="83">
        <f>SUMIF('Объем пр-ва'!$R$5:$R$64,$A37,'Объем пр-ва'!$D$5:$D$64)*SUMIF('Закупки сырья'!$A$89:$A$283,$B37,'Закупки сырья'!$F$89:$F$284)</f>
        <v>0</v>
      </c>
      <c r="G37" s="83">
        <f>SUMIF('Объем пр-ва'!$R$5:$R$64,$A37,'Объем пр-ва'!$D$5:$D$64)*SUMIF('Закупки сырья'!$A$89:$A$283,$B37,'Закупки сырья'!$F$89:$F$284)</f>
        <v>0</v>
      </c>
      <c r="H37" s="83">
        <f>SUMIF('Объем пр-ва'!$R$5:$R$64,$A37,'Объем пр-ва'!$D$5:$D$64)*SUMIF('Закупки сырья'!$A$89:$A$283,$B37,'Закупки сырья'!$F$89:$F$284)</f>
        <v>0</v>
      </c>
      <c r="I37" s="83">
        <f>SUMIF('Объем пр-ва'!$R$5:$R$64,$A37,'Объем пр-ва'!$D$5:$D$64)*SUMIF('Закупки сырья'!$A$89:$A$283,$B37,'Закупки сырья'!$F$89:$F$284)</f>
        <v>0</v>
      </c>
      <c r="J37" s="83">
        <f>SUMIF('Объем пр-ва'!$R$5:$R$64,$A37,'Объем пр-ва'!$D$5:$D$64)*SUMIF('Закупки сырья'!$A$89:$A$283,$B37,'Закупки сырья'!$F$89:$F$284)</f>
        <v>0</v>
      </c>
      <c r="K37" s="83">
        <f>SUMIF('Объем пр-ва'!$R$5:$R$64,$A37,'Объем пр-ва'!$D$5:$D$64)*SUMIF('Закупки сырья'!$A$89:$A$283,$B37,'Закупки сырья'!$F$89:$F$284)</f>
        <v>0</v>
      </c>
      <c r="L37" s="83">
        <f>SUMIF('Объем пр-ва'!$R$5:$R$64,$A37,'Объем пр-ва'!$D$5:$D$64)*SUMIF('Закупки сырья'!$A$89:$A$283,$B37,'Закупки сырья'!$F$89:$F$284)</f>
        <v>0</v>
      </c>
      <c r="M37" s="83">
        <f>SUMIF('Объем пр-ва'!$R$5:$R$64,$A37,'Объем пр-ва'!$D$5:$D$64)*SUMIF('Закупки сырья'!$A$89:$A$283,$B37,'Закупки сырья'!$F$89:$F$284)</f>
        <v>0</v>
      </c>
      <c r="N37" s="83">
        <f>SUMIF('Объем пр-ва'!$R$5:$R$64,$A37,'Объем пр-ва'!$D$5:$D$64)*SUMIF('Закупки сырья'!$A$89:$A$283,$B37,'Закупки сырья'!$F$89:$F$284)</f>
        <v>0</v>
      </c>
      <c r="O37" s="305">
        <f>SUMIF('Объем пр-ва'!$R$5:$R$64,$A37,'Объем пр-ва'!$D$5:$D$64)*SUMIF('Закупки сырья'!$A$89:$A$283,$B37,'Закупки сырья'!$F$89:$F$284)</f>
        <v>0</v>
      </c>
      <c r="P37" s="194">
        <f t="shared" si="0"/>
        <v>0</v>
      </c>
    </row>
    <row r="38" spans="1:16" ht="10.5">
      <c r="A38" s="81" t="s">
        <v>259</v>
      </c>
      <c r="B38" s="82" t="str">
        <f>VLOOKUP(A38,Классификаторы!$A:$B,2,FALSE)</f>
        <v>Продукт 10</v>
      </c>
      <c r="C38" s="83">
        <f>SUMIF('Объем пр-ва'!$R$5:$R$64,$A38,'Объем пр-ва'!$D$5:$D$64)*SUMIF('Закупки сырья'!$A$89:$A$283,$B38,'Закупки сырья'!$F$89:$F$284)</f>
        <v>0</v>
      </c>
      <c r="D38" s="83">
        <f>SUMIF('Объем пр-ва'!$R$5:$R$64,$A38,'Объем пр-ва'!$D$5:$D$64)*SUMIF('Закупки сырья'!$A$89:$A$283,$B38,'Закупки сырья'!$F$89:$F$284)</f>
        <v>0</v>
      </c>
      <c r="E38" s="83">
        <f>SUMIF('Объем пр-ва'!$R$5:$R$64,$A38,'Объем пр-ва'!$D$5:$D$64)*SUMIF('Закупки сырья'!$A$89:$A$283,$B38,'Закупки сырья'!$F$89:$F$284)</f>
        <v>0</v>
      </c>
      <c r="F38" s="83">
        <f>SUMIF('Объем пр-ва'!$R$5:$R$64,$A38,'Объем пр-ва'!$D$5:$D$64)*SUMIF('Закупки сырья'!$A$89:$A$283,$B38,'Закупки сырья'!$F$89:$F$284)</f>
        <v>0</v>
      </c>
      <c r="G38" s="83">
        <f>SUMIF('Объем пр-ва'!$R$5:$R$64,$A38,'Объем пр-ва'!$D$5:$D$64)*SUMIF('Закупки сырья'!$A$89:$A$283,$B38,'Закупки сырья'!$F$89:$F$284)</f>
        <v>0</v>
      </c>
      <c r="H38" s="83">
        <f>SUMIF('Объем пр-ва'!$R$5:$R$64,$A38,'Объем пр-ва'!$D$5:$D$64)*SUMIF('Закупки сырья'!$A$89:$A$283,$B38,'Закупки сырья'!$F$89:$F$284)</f>
        <v>0</v>
      </c>
      <c r="I38" s="83">
        <f>SUMIF('Объем пр-ва'!$R$5:$R$64,$A38,'Объем пр-ва'!$D$5:$D$64)*SUMIF('Закупки сырья'!$A$89:$A$283,$B38,'Закупки сырья'!$F$89:$F$284)</f>
        <v>0</v>
      </c>
      <c r="J38" s="83">
        <f>SUMIF('Объем пр-ва'!$R$5:$R$64,$A38,'Объем пр-ва'!$D$5:$D$64)*SUMIF('Закупки сырья'!$A$89:$A$283,$B38,'Закупки сырья'!$F$89:$F$284)</f>
        <v>0</v>
      </c>
      <c r="K38" s="83">
        <f>SUMIF('Объем пр-ва'!$R$5:$R$64,$A38,'Объем пр-ва'!$D$5:$D$64)*SUMIF('Закупки сырья'!$A$89:$A$283,$B38,'Закупки сырья'!$F$89:$F$284)</f>
        <v>0</v>
      </c>
      <c r="L38" s="83">
        <f>SUMIF('Объем пр-ва'!$R$5:$R$64,$A38,'Объем пр-ва'!$D$5:$D$64)*SUMIF('Закупки сырья'!$A$89:$A$283,$B38,'Закупки сырья'!$F$89:$F$284)</f>
        <v>0</v>
      </c>
      <c r="M38" s="83">
        <f>SUMIF('Объем пр-ва'!$R$5:$R$64,$A38,'Объем пр-ва'!$D$5:$D$64)*SUMIF('Закупки сырья'!$A$89:$A$283,$B38,'Закупки сырья'!$F$89:$F$284)</f>
        <v>0</v>
      </c>
      <c r="N38" s="83">
        <f>SUMIF('Объем пр-ва'!$R$5:$R$64,$A38,'Объем пр-ва'!$D$5:$D$64)*SUMIF('Закупки сырья'!$A$89:$A$283,$B38,'Закупки сырья'!$F$89:$F$284)</f>
        <v>0</v>
      </c>
      <c r="O38" s="305">
        <f>SUMIF('Объем пр-ва'!$R$5:$R$64,$A38,'Объем пр-ва'!$D$5:$D$64)*SUMIF('Закупки сырья'!$A$89:$A$283,$B38,'Закупки сырья'!$F$89:$F$284)</f>
        <v>0</v>
      </c>
      <c r="P38" s="194">
        <f t="shared" si="0"/>
        <v>0</v>
      </c>
    </row>
    <row r="39" spans="1:16" ht="10.5">
      <c r="A39" s="81" t="s">
        <v>264</v>
      </c>
      <c r="B39" s="82" t="str">
        <f>VLOOKUP(A39,Классификаторы!$A:$B,2,FALSE)</f>
        <v>Продукт 11</v>
      </c>
      <c r="C39" s="83">
        <f>SUMIF('Объем пр-ва'!$R$5:$R$64,$A39,'Объем пр-ва'!$D$5:$D$64)*SUMIF('Закупки сырья'!$A$89:$A$283,$B39,'Закупки сырья'!$F$89:$F$284)</f>
        <v>0</v>
      </c>
      <c r="D39" s="83">
        <f>SUMIF('Объем пр-ва'!$R$5:$R$64,$A39,'Объем пр-ва'!$D$5:$D$64)*SUMIF('Закупки сырья'!$A$89:$A$283,$B39,'Закупки сырья'!$F$89:$F$284)</f>
        <v>0</v>
      </c>
      <c r="E39" s="83">
        <f>SUMIF('Объем пр-ва'!$R$5:$R$64,$A39,'Объем пр-ва'!$D$5:$D$64)*SUMIF('Закупки сырья'!$A$89:$A$283,$B39,'Закупки сырья'!$F$89:$F$284)</f>
        <v>0</v>
      </c>
      <c r="F39" s="83">
        <f>SUMIF('Объем пр-ва'!$R$5:$R$64,$A39,'Объем пр-ва'!$D$5:$D$64)*SUMIF('Закупки сырья'!$A$89:$A$283,$B39,'Закупки сырья'!$F$89:$F$284)</f>
        <v>0</v>
      </c>
      <c r="G39" s="83">
        <f>SUMIF('Объем пр-ва'!$R$5:$R$64,$A39,'Объем пр-ва'!$D$5:$D$64)*SUMIF('Закупки сырья'!$A$89:$A$283,$B39,'Закупки сырья'!$F$89:$F$284)</f>
        <v>0</v>
      </c>
      <c r="H39" s="83">
        <f>SUMIF('Объем пр-ва'!$R$5:$R$64,$A39,'Объем пр-ва'!$D$5:$D$64)*SUMIF('Закупки сырья'!$A$89:$A$283,$B39,'Закупки сырья'!$F$89:$F$284)</f>
        <v>0</v>
      </c>
      <c r="I39" s="83">
        <f>SUMIF('Объем пр-ва'!$R$5:$R$64,$A39,'Объем пр-ва'!$D$5:$D$64)*SUMIF('Закупки сырья'!$A$89:$A$283,$B39,'Закупки сырья'!$F$89:$F$284)</f>
        <v>0</v>
      </c>
      <c r="J39" s="83">
        <f>SUMIF('Объем пр-ва'!$R$5:$R$64,$A39,'Объем пр-ва'!$D$5:$D$64)*SUMIF('Закупки сырья'!$A$89:$A$283,$B39,'Закупки сырья'!$F$89:$F$284)</f>
        <v>0</v>
      </c>
      <c r="K39" s="83">
        <f>SUMIF('Объем пр-ва'!$R$5:$R$64,$A39,'Объем пр-ва'!$D$5:$D$64)*SUMIF('Закупки сырья'!$A$89:$A$283,$B39,'Закупки сырья'!$F$89:$F$284)</f>
        <v>0</v>
      </c>
      <c r="L39" s="83">
        <f>SUMIF('Объем пр-ва'!$R$5:$R$64,$A39,'Объем пр-ва'!$D$5:$D$64)*SUMIF('Закупки сырья'!$A$89:$A$283,$B39,'Закупки сырья'!$F$89:$F$284)</f>
        <v>0</v>
      </c>
      <c r="M39" s="83">
        <f>SUMIF('Объем пр-ва'!$R$5:$R$64,$A39,'Объем пр-ва'!$D$5:$D$64)*SUMIF('Закупки сырья'!$A$89:$A$283,$B39,'Закупки сырья'!$F$89:$F$284)</f>
        <v>0</v>
      </c>
      <c r="N39" s="83">
        <f>SUMIF('Объем пр-ва'!$R$5:$R$64,$A39,'Объем пр-ва'!$D$5:$D$64)*SUMIF('Закупки сырья'!$A$89:$A$283,$B39,'Закупки сырья'!$F$89:$F$284)</f>
        <v>0</v>
      </c>
      <c r="O39" s="305">
        <f>SUMIF('Объем пр-ва'!$R$5:$R$64,$A39,'Объем пр-ва'!$D$5:$D$64)*SUMIF('Закупки сырья'!$A$89:$A$283,$B39,'Закупки сырья'!$F$89:$F$284)</f>
        <v>0</v>
      </c>
      <c r="P39" s="194">
        <f t="shared" si="0"/>
        <v>0</v>
      </c>
    </row>
    <row r="40" spans="1:16" ht="10.5">
      <c r="A40" s="81" t="s">
        <v>265</v>
      </c>
      <c r="B40" s="82" t="str">
        <f>VLOOKUP(A40,Классификаторы!$A:$B,2,FALSE)</f>
        <v>Продукт 12</v>
      </c>
      <c r="C40" s="83">
        <f>SUMIF('Объем пр-ва'!$R$5:$R$64,$A40,'Объем пр-ва'!$D$5:$D$64)*SUMIF('Закупки сырья'!$A$89:$A$283,$B40,'Закупки сырья'!$F$89:$F$284)</f>
        <v>0</v>
      </c>
      <c r="D40" s="83">
        <f>SUMIF('Объем пр-ва'!$R$5:$R$64,$A40,'Объем пр-ва'!$D$5:$D$64)*SUMIF('Закупки сырья'!$A$89:$A$283,$B40,'Закупки сырья'!$F$89:$F$284)</f>
        <v>0</v>
      </c>
      <c r="E40" s="83">
        <f>SUMIF('Объем пр-ва'!$R$5:$R$64,$A40,'Объем пр-ва'!$D$5:$D$64)*SUMIF('Закупки сырья'!$A$89:$A$283,$B40,'Закупки сырья'!$F$89:$F$284)</f>
        <v>0</v>
      </c>
      <c r="F40" s="83">
        <f>SUMIF('Объем пр-ва'!$R$5:$R$64,$A40,'Объем пр-ва'!$D$5:$D$64)*SUMIF('Закупки сырья'!$A$89:$A$283,$B40,'Закупки сырья'!$F$89:$F$284)</f>
        <v>0</v>
      </c>
      <c r="G40" s="83">
        <f>SUMIF('Объем пр-ва'!$R$5:$R$64,$A40,'Объем пр-ва'!$D$5:$D$64)*SUMIF('Закупки сырья'!$A$89:$A$283,$B40,'Закупки сырья'!$F$89:$F$284)</f>
        <v>0</v>
      </c>
      <c r="H40" s="83">
        <f>SUMIF('Объем пр-ва'!$R$5:$R$64,$A40,'Объем пр-ва'!$D$5:$D$64)*SUMIF('Закупки сырья'!$A$89:$A$283,$B40,'Закупки сырья'!$F$89:$F$284)</f>
        <v>0</v>
      </c>
      <c r="I40" s="83">
        <f>SUMIF('Объем пр-ва'!$R$5:$R$64,$A40,'Объем пр-ва'!$D$5:$D$64)*SUMIF('Закупки сырья'!$A$89:$A$283,$B40,'Закупки сырья'!$F$89:$F$284)</f>
        <v>0</v>
      </c>
      <c r="J40" s="83">
        <f>SUMIF('Объем пр-ва'!$R$5:$R$64,$A40,'Объем пр-ва'!$D$5:$D$64)*SUMIF('Закупки сырья'!$A$89:$A$283,$B40,'Закупки сырья'!$F$89:$F$284)</f>
        <v>0</v>
      </c>
      <c r="K40" s="83">
        <f>SUMIF('Объем пр-ва'!$R$5:$R$64,$A40,'Объем пр-ва'!$D$5:$D$64)*SUMIF('Закупки сырья'!$A$89:$A$283,$B40,'Закупки сырья'!$F$89:$F$284)</f>
        <v>0</v>
      </c>
      <c r="L40" s="83">
        <f>SUMIF('Объем пр-ва'!$R$5:$R$64,$A40,'Объем пр-ва'!$D$5:$D$64)*SUMIF('Закупки сырья'!$A$89:$A$283,$B40,'Закупки сырья'!$F$89:$F$284)</f>
        <v>0</v>
      </c>
      <c r="M40" s="83">
        <f>SUMIF('Объем пр-ва'!$R$5:$R$64,$A40,'Объем пр-ва'!$D$5:$D$64)*SUMIF('Закупки сырья'!$A$89:$A$283,$B40,'Закупки сырья'!$F$89:$F$284)</f>
        <v>0</v>
      </c>
      <c r="N40" s="83">
        <f>SUMIF('Объем пр-ва'!$R$5:$R$64,$A40,'Объем пр-ва'!$D$5:$D$64)*SUMIF('Закупки сырья'!$A$89:$A$283,$B40,'Закупки сырья'!$F$89:$F$284)</f>
        <v>0</v>
      </c>
      <c r="O40" s="305">
        <f>SUMIF('Объем пр-ва'!$R$5:$R$64,$A40,'Объем пр-ва'!$D$5:$D$64)*SUMIF('Закупки сырья'!$A$89:$A$283,$B40,'Закупки сырья'!$F$89:$F$284)</f>
        <v>0</v>
      </c>
      <c r="P40" s="194">
        <f t="shared" si="0"/>
        <v>0</v>
      </c>
    </row>
    <row r="41" spans="1:16" ht="10.5">
      <c r="A41" s="81" t="s">
        <v>267</v>
      </c>
      <c r="B41" s="82" t="str">
        <f>VLOOKUP(A41,Классификаторы!$A:$B,2,FALSE)</f>
        <v>Продукт 13</v>
      </c>
      <c r="C41" s="83">
        <f>SUMIF('Объем пр-ва'!$R$5:$R$64,$A41,'Объем пр-ва'!$D$5:$D$64)*SUMIF('Закупки сырья'!$A$89:$A$283,$B41,'Закупки сырья'!$F$89:$F$284)</f>
        <v>0</v>
      </c>
      <c r="D41" s="83">
        <f>SUMIF('Объем пр-ва'!$R$5:$R$64,$A41,'Объем пр-ва'!$D$5:$D$64)*SUMIF('Закупки сырья'!$A$89:$A$283,$B41,'Закупки сырья'!$F$89:$F$284)</f>
        <v>0</v>
      </c>
      <c r="E41" s="83">
        <f>SUMIF('Объем пр-ва'!$R$5:$R$64,$A41,'Объем пр-ва'!$D$5:$D$64)*SUMIF('Закупки сырья'!$A$89:$A$283,$B41,'Закупки сырья'!$F$89:$F$284)</f>
        <v>0</v>
      </c>
      <c r="F41" s="83">
        <f>SUMIF('Объем пр-ва'!$R$5:$R$64,$A41,'Объем пр-ва'!$D$5:$D$64)*SUMIF('Закупки сырья'!$A$89:$A$283,$B41,'Закупки сырья'!$F$89:$F$284)</f>
        <v>0</v>
      </c>
      <c r="G41" s="83">
        <f>SUMIF('Объем пр-ва'!$R$5:$R$64,$A41,'Объем пр-ва'!$D$5:$D$64)*SUMIF('Закупки сырья'!$A$89:$A$283,$B41,'Закупки сырья'!$F$89:$F$284)</f>
        <v>0</v>
      </c>
      <c r="H41" s="83">
        <f>SUMIF('Объем пр-ва'!$R$5:$R$64,$A41,'Объем пр-ва'!$D$5:$D$64)*SUMIF('Закупки сырья'!$A$89:$A$283,$B41,'Закупки сырья'!$F$89:$F$284)</f>
        <v>0</v>
      </c>
      <c r="I41" s="83">
        <f>SUMIF('Объем пр-ва'!$R$5:$R$64,$A41,'Объем пр-ва'!$D$5:$D$64)*SUMIF('Закупки сырья'!$A$89:$A$283,$B41,'Закупки сырья'!$F$89:$F$284)</f>
        <v>0</v>
      </c>
      <c r="J41" s="83">
        <f>SUMIF('Объем пр-ва'!$R$5:$R$64,$A41,'Объем пр-ва'!$D$5:$D$64)*SUMIF('Закупки сырья'!$A$89:$A$283,$B41,'Закупки сырья'!$F$89:$F$284)</f>
        <v>0</v>
      </c>
      <c r="K41" s="83">
        <f>SUMIF('Объем пр-ва'!$R$5:$R$64,$A41,'Объем пр-ва'!$D$5:$D$64)*SUMIF('Закупки сырья'!$A$89:$A$283,$B41,'Закупки сырья'!$F$89:$F$284)</f>
        <v>0</v>
      </c>
      <c r="L41" s="83">
        <f>SUMIF('Объем пр-ва'!$R$5:$R$64,$A41,'Объем пр-ва'!$D$5:$D$64)*SUMIF('Закупки сырья'!$A$89:$A$283,$B41,'Закупки сырья'!$F$89:$F$284)</f>
        <v>0</v>
      </c>
      <c r="M41" s="83">
        <f>SUMIF('Объем пр-ва'!$R$5:$R$64,$A41,'Объем пр-ва'!$D$5:$D$64)*SUMIF('Закупки сырья'!$A$89:$A$283,$B41,'Закупки сырья'!$F$89:$F$284)</f>
        <v>0</v>
      </c>
      <c r="N41" s="83">
        <f>SUMIF('Объем пр-ва'!$R$5:$R$64,$A41,'Объем пр-ва'!$D$5:$D$64)*SUMIF('Закупки сырья'!$A$89:$A$283,$B41,'Закупки сырья'!$F$89:$F$284)</f>
        <v>0</v>
      </c>
      <c r="O41" s="305">
        <f>SUMIF('Объем пр-ва'!$R$5:$R$64,$A41,'Объем пр-ва'!$D$5:$D$64)*SUMIF('Закупки сырья'!$A$89:$A$283,$B41,'Закупки сырья'!$F$89:$F$284)</f>
        <v>0</v>
      </c>
      <c r="P41" s="194">
        <f t="shared" si="0"/>
        <v>0</v>
      </c>
    </row>
    <row r="42" spans="1:16" ht="10.5">
      <c r="A42" s="81" t="s">
        <v>268</v>
      </c>
      <c r="B42" s="82" t="str">
        <f>VLOOKUP(A42,Классификаторы!$A:$B,2,FALSE)</f>
        <v>Продукт 14</v>
      </c>
      <c r="C42" s="83">
        <f>SUMIF('Объем пр-ва'!$R$5:$R$64,$A42,'Объем пр-ва'!$D$5:$D$64)*SUMIF('Закупки сырья'!$A$89:$A$283,$B42,'Закупки сырья'!$F$89:$F$284)</f>
        <v>0</v>
      </c>
      <c r="D42" s="83">
        <f>SUMIF('Объем пр-ва'!$R$5:$R$64,$A42,'Объем пр-ва'!$D$5:$D$64)*SUMIF('Закупки сырья'!$A$89:$A$283,$B42,'Закупки сырья'!$F$89:$F$284)</f>
        <v>0</v>
      </c>
      <c r="E42" s="83">
        <f>SUMIF('Объем пр-ва'!$R$5:$R$64,$A42,'Объем пр-ва'!$D$5:$D$64)*SUMIF('Закупки сырья'!$A$89:$A$283,$B42,'Закупки сырья'!$F$89:$F$284)</f>
        <v>0</v>
      </c>
      <c r="F42" s="83">
        <f>SUMIF('Объем пр-ва'!$R$5:$R$64,$A42,'Объем пр-ва'!$D$5:$D$64)*SUMIF('Закупки сырья'!$A$89:$A$283,$B42,'Закупки сырья'!$F$89:$F$284)</f>
        <v>0</v>
      </c>
      <c r="G42" s="83">
        <f>SUMIF('Объем пр-ва'!$R$5:$R$64,$A42,'Объем пр-ва'!$D$5:$D$64)*SUMIF('Закупки сырья'!$A$89:$A$283,$B42,'Закупки сырья'!$F$89:$F$284)</f>
        <v>0</v>
      </c>
      <c r="H42" s="83">
        <f>SUMIF('Объем пр-ва'!$R$5:$R$64,$A42,'Объем пр-ва'!$D$5:$D$64)*SUMIF('Закупки сырья'!$A$89:$A$283,$B42,'Закупки сырья'!$F$89:$F$284)</f>
        <v>0</v>
      </c>
      <c r="I42" s="83">
        <f>SUMIF('Объем пр-ва'!$R$5:$R$64,$A42,'Объем пр-ва'!$D$5:$D$64)*SUMIF('Закупки сырья'!$A$89:$A$283,$B42,'Закупки сырья'!$F$89:$F$284)</f>
        <v>0</v>
      </c>
      <c r="J42" s="83">
        <f>SUMIF('Объем пр-ва'!$R$5:$R$64,$A42,'Объем пр-ва'!$D$5:$D$64)*SUMIF('Закупки сырья'!$A$89:$A$283,$B42,'Закупки сырья'!$F$89:$F$284)</f>
        <v>0</v>
      </c>
      <c r="K42" s="83">
        <f>SUMIF('Объем пр-ва'!$R$5:$R$64,$A42,'Объем пр-ва'!$D$5:$D$64)*SUMIF('Закупки сырья'!$A$89:$A$283,$B42,'Закупки сырья'!$F$89:$F$284)</f>
        <v>0</v>
      </c>
      <c r="L42" s="83">
        <f>SUMIF('Объем пр-ва'!$R$5:$R$64,$A42,'Объем пр-ва'!$D$5:$D$64)*SUMIF('Закупки сырья'!$A$89:$A$283,$B42,'Закупки сырья'!$F$89:$F$284)</f>
        <v>0</v>
      </c>
      <c r="M42" s="83">
        <f>SUMIF('Объем пр-ва'!$R$5:$R$64,$A42,'Объем пр-ва'!$D$5:$D$64)*SUMIF('Закупки сырья'!$A$89:$A$283,$B42,'Закупки сырья'!$F$89:$F$284)</f>
        <v>0</v>
      </c>
      <c r="N42" s="83">
        <f>SUMIF('Объем пр-ва'!$R$5:$R$64,$A42,'Объем пр-ва'!$D$5:$D$64)*SUMIF('Закупки сырья'!$A$89:$A$283,$B42,'Закупки сырья'!$F$89:$F$284)</f>
        <v>0</v>
      </c>
      <c r="O42" s="305">
        <f>SUMIF('Объем пр-ва'!$R$5:$R$64,$A42,'Объем пр-ва'!$D$5:$D$64)*SUMIF('Закупки сырья'!$A$89:$A$283,$B42,'Закупки сырья'!$F$89:$F$284)</f>
        <v>0</v>
      </c>
      <c r="P42" s="194">
        <f t="shared" si="0"/>
        <v>0</v>
      </c>
    </row>
    <row r="43" spans="1:16" ht="10.5">
      <c r="A43" s="81" t="s">
        <v>269</v>
      </c>
      <c r="B43" s="82" t="str">
        <f>VLOOKUP(A43,Классификаторы!$A:$B,2,FALSE)</f>
        <v>Продукт 15</v>
      </c>
      <c r="C43" s="83">
        <f>SUMIF('Объем пр-ва'!$R$5:$R$64,$A43,'Объем пр-ва'!$D$5:$D$64)*SUMIF('Закупки сырья'!$A$89:$A$283,$B43,'Закупки сырья'!$F$89:$F$284)</f>
        <v>0</v>
      </c>
      <c r="D43" s="83">
        <f>SUMIF('Объем пр-ва'!$R$5:$R$64,$A43,'Объем пр-ва'!$D$5:$D$64)*SUMIF('Закупки сырья'!$A$89:$A$283,$B43,'Закупки сырья'!$F$89:$F$284)</f>
        <v>0</v>
      </c>
      <c r="E43" s="83">
        <f>SUMIF('Объем пр-ва'!$R$5:$R$64,$A43,'Объем пр-ва'!$D$5:$D$64)*SUMIF('Закупки сырья'!$A$89:$A$283,$B43,'Закупки сырья'!$F$89:$F$284)</f>
        <v>0</v>
      </c>
      <c r="F43" s="83">
        <f>SUMIF('Объем пр-ва'!$R$5:$R$64,$A43,'Объем пр-ва'!$D$5:$D$64)*SUMIF('Закупки сырья'!$A$89:$A$283,$B43,'Закупки сырья'!$F$89:$F$284)</f>
        <v>0</v>
      </c>
      <c r="G43" s="83">
        <f>SUMIF('Объем пр-ва'!$R$5:$R$64,$A43,'Объем пр-ва'!$D$5:$D$64)*SUMIF('Закупки сырья'!$A$89:$A$283,$B43,'Закупки сырья'!$F$89:$F$284)</f>
        <v>0</v>
      </c>
      <c r="H43" s="83">
        <f>SUMIF('Объем пр-ва'!$R$5:$R$64,$A43,'Объем пр-ва'!$D$5:$D$64)*SUMIF('Закупки сырья'!$A$89:$A$283,$B43,'Закупки сырья'!$F$89:$F$284)</f>
        <v>0</v>
      </c>
      <c r="I43" s="83">
        <f>SUMIF('Объем пр-ва'!$R$5:$R$64,$A43,'Объем пр-ва'!$D$5:$D$64)*SUMIF('Закупки сырья'!$A$89:$A$283,$B43,'Закупки сырья'!$F$89:$F$284)</f>
        <v>0</v>
      </c>
      <c r="J43" s="83">
        <f>SUMIF('Объем пр-ва'!$R$5:$R$64,$A43,'Объем пр-ва'!$D$5:$D$64)*SUMIF('Закупки сырья'!$A$89:$A$283,$B43,'Закупки сырья'!$F$89:$F$284)</f>
        <v>0</v>
      </c>
      <c r="K43" s="83">
        <f>SUMIF('Объем пр-ва'!$R$5:$R$64,$A43,'Объем пр-ва'!$D$5:$D$64)*SUMIF('Закупки сырья'!$A$89:$A$283,$B43,'Закупки сырья'!$F$89:$F$284)</f>
        <v>0</v>
      </c>
      <c r="L43" s="83">
        <f>SUMIF('Объем пр-ва'!$R$5:$R$64,$A43,'Объем пр-ва'!$D$5:$D$64)*SUMIF('Закупки сырья'!$A$89:$A$283,$B43,'Закупки сырья'!$F$89:$F$284)</f>
        <v>0</v>
      </c>
      <c r="M43" s="83">
        <f>SUMIF('Объем пр-ва'!$R$5:$R$64,$A43,'Объем пр-ва'!$D$5:$D$64)*SUMIF('Закупки сырья'!$A$89:$A$283,$B43,'Закупки сырья'!$F$89:$F$284)</f>
        <v>0</v>
      </c>
      <c r="N43" s="83">
        <f>SUMIF('Объем пр-ва'!$R$5:$R$64,$A43,'Объем пр-ва'!$D$5:$D$64)*SUMIF('Закупки сырья'!$A$89:$A$283,$B43,'Закупки сырья'!$F$89:$F$284)</f>
        <v>0</v>
      </c>
      <c r="O43" s="305">
        <f>SUMIF('Объем пр-ва'!$R$5:$R$64,$A43,'Объем пр-ва'!$D$5:$D$64)*SUMIF('Закупки сырья'!$A$89:$A$283,$B43,'Закупки сырья'!$F$89:$F$284)</f>
        <v>0</v>
      </c>
      <c r="P43" s="194">
        <f t="shared" si="0"/>
        <v>0</v>
      </c>
    </row>
    <row r="44" spans="1:16" ht="10.5">
      <c r="A44" s="93" t="s">
        <v>64</v>
      </c>
      <c r="B44" s="314" t="s">
        <v>342</v>
      </c>
      <c r="C44" s="311" t="s">
        <v>342</v>
      </c>
      <c r="D44" s="311" t="s">
        <v>342</v>
      </c>
      <c r="E44" s="311" t="s">
        <v>342</v>
      </c>
      <c r="F44" s="311" t="s">
        <v>342</v>
      </c>
      <c r="G44" s="311" t="s">
        <v>342</v>
      </c>
      <c r="H44" s="311" t="s">
        <v>342</v>
      </c>
      <c r="I44" s="311" t="s">
        <v>342</v>
      </c>
      <c r="J44" s="311" t="s">
        <v>342</v>
      </c>
      <c r="K44" s="311" t="s">
        <v>342</v>
      </c>
      <c r="L44" s="311" t="s">
        <v>342</v>
      </c>
      <c r="M44" s="311" t="s">
        <v>342</v>
      </c>
      <c r="N44" s="311" t="s">
        <v>342</v>
      </c>
      <c r="O44" s="311" t="s">
        <v>342</v>
      </c>
      <c r="P44" s="312" t="s">
        <v>342</v>
      </c>
    </row>
    <row r="45" spans="1:16" ht="10.5">
      <c r="A45" s="307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06"/>
      <c r="P45" s="303"/>
    </row>
    <row r="46" spans="1:16" s="89" customFormat="1" ht="10.5">
      <c r="A46" s="321" t="s">
        <v>163</v>
      </c>
      <c r="B46" s="323"/>
      <c r="C46" s="308">
        <f aca="true" t="shared" si="1" ref="C46:P46">SUM(C29:C44)</f>
        <v>0</v>
      </c>
      <c r="D46" s="308">
        <f t="shared" si="1"/>
        <v>0</v>
      </c>
      <c r="E46" s="308">
        <f t="shared" si="1"/>
        <v>0</v>
      </c>
      <c r="F46" s="308">
        <f t="shared" si="1"/>
        <v>0</v>
      </c>
      <c r="G46" s="308">
        <f t="shared" si="1"/>
        <v>0</v>
      </c>
      <c r="H46" s="308">
        <f t="shared" si="1"/>
        <v>0</v>
      </c>
      <c r="I46" s="308">
        <f t="shared" si="1"/>
        <v>0</v>
      </c>
      <c r="J46" s="308">
        <f t="shared" si="1"/>
        <v>0</v>
      </c>
      <c r="K46" s="308">
        <f t="shared" si="1"/>
        <v>0</v>
      </c>
      <c r="L46" s="308">
        <f t="shared" si="1"/>
        <v>0</v>
      </c>
      <c r="M46" s="308">
        <f t="shared" si="1"/>
        <v>0</v>
      </c>
      <c r="N46" s="308">
        <f t="shared" si="1"/>
        <v>0</v>
      </c>
      <c r="O46" s="309">
        <f t="shared" si="1"/>
        <v>0</v>
      </c>
      <c r="P46" s="140">
        <f t="shared" si="1"/>
        <v>0</v>
      </c>
    </row>
    <row r="48" spans="1:16" ht="13.5" thickBot="1">
      <c r="A48" s="77" t="s">
        <v>317</v>
      </c>
      <c r="E48" s="78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79"/>
    </row>
    <row r="49" spans="1:15" ht="10.5">
      <c r="A49" s="80" t="s">
        <v>90</v>
      </c>
      <c r="B49" s="55">
        <v>2007</v>
      </c>
      <c r="C49" s="56">
        <v>39448</v>
      </c>
      <c r="D49" s="56">
        <v>39479</v>
      </c>
      <c r="E49" s="56">
        <v>39508</v>
      </c>
      <c r="F49" s="56">
        <v>39539</v>
      </c>
      <c r="G49" s="56">
        <v>39569</v>
      </c>
      <c r="H49" s="56">
        <v>39600</v>
      </c>
      <c r="I49" s="56">
        <v>39630</v>
      </c>
      <c r="J49" s="56">
        <v>39661</v>
      </c>
      <c r="K49" s="56">
        <v>39692</v>
      </c>
      <c r="L49" s="56">
        <v>39722</v>
      </c>
      <c r="M49" s="56">
        <v>39753</v>
      </c>
      <c r="N49" s="56">
        <v>39783</v>
      </c>
      <c r="O49" s="56" t="s">
        <v>92</v>
      </c>
    </row>
    <row r="50" spans="1:15" ht="10.5">
      <c r="A50" s="16" t="s">
        <v>402</v>
      </c>
      <c r="B50" s="315"/>
      <c r="C50" s="157">
        <f>Оборачиваемость!C$11/30*'Закупки сырья'!C5</f>
        <v>0</v>
      </c>
      <c r="D50" s="157">
        <f>Оборачиваемость!D$11/30*'Закупки сырья'!D5</f>
        <v>0</v>
      </c>
      <c r="E50" s="157">
        <f>Оборачиваемость!E$11/30*'Закупки сырья'!E5</f>
        <v>0</v>
      </c>
      <c r="F50" s="157">
        <f>Оборачиваемость!F$11/30*'Закупки сырья'!F5</f>
        <v>0</v>
      </c>
      <c r="G50" s="157">
        <f>Оборачиваемость!G$11/30*'Закупки сырья'!G5</f>
        <v>0</v>
      </c>
      <c r="H50" s="157">
        <f>Оборачиваемость!H$11/30*'Закупки сырья'!H5</f>
        <v>0</v>
      </c>
      <c r="I50" s="157">
        <f>Оборачиваемость!I$11/30*'Закупки сырья'!I5</f>
        <v>0</v>
      </c>
      <c r="J50" s="157">
        <f>Оборачиваемость!J$11/30*'Закупки сырья'!J5</f>
        <v>0</v>
      </c>
      <c r="K50" s="157">
        <f>Оборачиваемость!K$11/30*'Закупки сырья'!K5</f>
        <v>0</v>
      </c>
      <c r="L50" s="157">
        <f>Оборачиваемость!L$11/30*'Закупки сырья'!L5</f>
        <v>0</v>
      </c>
      <c r="M50" s="157">
        <f>Оборачиваемость!M$11/30*'Закупки сырья'!M5</f>
        <v>0</v>
      </c>
      <c r="N50" s="158">
        <f>Оборачиваемость!N$11/30*'Закупки сырья'!N5</f>
        <v>0</v>
      </c>
      <c r="O50" s="192">
        <f aca="true" t="shared" si="2" ref="O50:O58">SUM(C50:N50)/12</f>
        <v>0</v>
      </c>
    </row>
    <row r="51" spans="1:15" ht="10.5">
      <c r="A51" s="16" t="s">
        <v>403</v>
      </c>
      <c r="B51" s="316"/>
      <c r="C51" s="113">
        <f>Оборачиваемость!C$11/30*'Закупки сырья'!C6</f>
        <v>0</v>
      </c>
      <c r="D51" s="113">
        <f>Оборачиваемость!D$11/30*'Закупки сырья'!D6</f>
        <v>0</v>
      </c>
      <c r="E51" s="113">
        <f>Оборачиваемость!E$11/30*'Закупки сырья'!E6</f>
        <v>0</v>
      </c>
      <c r="F51" s="113">
        <f>Оборачиваемость!F$11/30*'Закупки сырья'!F6</f>
        <v>0</v>
      </c>
      <c r="G51" s="113">
        <f>Оборачиваемость!G$11/30*'Закупки сырья'!G6</f>
        <v>0</v>
      </c>
      <c r="H51" s="113">
        <f>Оборачиваемость!H$11/30*'Закупки сырья'!H6</f>
        <v>0</v>
      </c>
      <c r="I51" s="113">
        <f>Оборачиваемость!I$11/30*'Закупки сырья'!I6</f>
        <v>0</v>
      </c>
      <c r="J51" s="113">
        <f>Оборачиваемость!J$11/30*'Закупки сырья'!J6</f>
        <v>0</v>
      </c>
      <c r="K51" s="113">
        <f>Оборачиваемость!K$11/30*'Закупки сырья'!K6</f>
        <v>0</v>
      </c>
      <c r="L51" s="113">
        <f>Оборачиваемость!L$11/30*'Закупки сырья'!L6</f>
        <v>0</v>
      </c>
      <c r="M51" s="113">
        <f>Оборачиваемость!M$11/30*'Закупки сырья'!M6</f>
        <v>0</v>
      </c>
      <c r="N51" s="161">
        <f>Оборачиваемость!N$11/30*'Закупки сырья'!N6</f>
        <v>0</v>
      </c>
      <c r="O51" s="194">
        <f t="shared" si="2"/>
        <v>0</v>
      </c>
    </row>
    <row r="52" spans="1:15" ht="10.5">
      <c r="A52" s="16" t="s">
        <v>404</v>
      </c>
      <c r="B52" s="316"/>
      <c r="C52" s="113">
        <f>Оборачиваемость!C$11/30*'Закупки сырья'!C7</f>
        <v>0</v>
      </c>
      <c r="D52" s="113">
        <f>Оборачиваемость!D$11/30*'Закупки сырья'!D7</f>
        <v>0</v>
      </c>
      <c r="E52" s="113">
        <f>Оборачиваемость!E$11/30*'Закупки сырья'!E7</f>
        <v>0</v>
      </c>
      <c r="F52" s="113">
        <f>Оборачиваемость!F$11/30*'Закупки сырья'!F7</f>
        <v>0</v>
      </c>
      <c r="G52" s="113">
        <f>Оборачиваемость!G$11/30*'Закупки сырья'!G7</f>
        <v>0</v>
      </c>
      <c r="H52" s="113">
        <f>Оборачиваемость!H$11/30*'Закупки сырья'!H7</f>
        <v>0</v>
      </c>
      <c r="I52" s="113">
        <f>Оборачиваемость!I$11/30*'Закупки сырья'!I7</f>
        <v>0</v>
      </c>
      <c r="J52" s="113">
        <f>Оборачиваемость!J$11/30*'Закупки сырья'!J7</f>
        <v>0</v>
      </c>
      <c r="K52" s="113">
        <f>Оборачиваемость!K$11/30*'Закупки сырья'!K7</f>
        <v>0</v>
      </c>
      <c r="L52" s="113">
        <f>Оборачиваемость!L$11/30*'Закупки сырья'!L7</f>
        <v>0</v>
      </c>
      <c r="M52" s="113">
        <f>Оборачиваемость!M$11/30*'Закупки сырья'!M7</f>
        <v>0</v>
      </c>
      <c r="N52" s="161">
        <f>Оборачиваемость!N$11/30*'Закупки сырья'!N7</f>
        <v>0</v>
      </c>
      <c r="O52" s="194">
        <f t="shared" si="2"/>
        <v>0</v>
      </c>
    </row>
    <row r="53" spans="1:15" ht="10.5">
      <c r="A53" s="16" t="s">
        <v>405</v>
      </c>
      <c r="B53" s="316"/>
      <c r="C53" s="113">
        <f>Оборачиваемость!C$11/30*'Закупки сырья'!C8</f>
        <v>0</v>
      </c>
      <c r="D53" s="113">
        <f>Оборачиваемость!D$11/30*'Закупки сырья'!D8</f>
        <v>0</v>
      </c>
      <c r="E53" s="113">
        <f>Оборачиваемость!E$11/30*'Закупки сырья'!E8</f>
        <v>0</v>
      </c>
      <c r="F53" s="113">
        <f>Оборачиваемость!F$11/30*'Закупки сырья'!F8</f>
        <v>0</v>
      </c>
      <c r="G53" s="113">
        <f>Оборачиваемость!G$11/30*'Закупки сырья'!G8</f>
        <v>0</v>
      </c>
      <c r="H53" s="113">
        <f>Оборачиваемость!H$11/30*'Закупки сырья'!H8</f>
        <v>0</v>
      </c>
      <c r="I53" s="113">
        <f>Оборачиваемость!I$11/30*'Закупки сырья'!I8</f>
        <v>0</v>
      </c>
      <c r="J53" s="113">
        <f>Оборачиваемость!J$11/30*'Закупки сырья'!J8</f>
        <v>0</v>
      </c>
      <c r="K53" s="113">
        <f>Оборачиваемость!K$11/30*'Закупки сырья'!K8</f>
        <v>0</v>
      </c>
      <c r="L53" s="113">
        <f>Оборачиваемость!L$11/30*'Закупки сырья'!L8</f>
        <v>0</v>
      </c>
      <c r="M53" s="113">
        <f>Оборачиваемость!M$11/30*'Закупки сырья'!M8</f>
        <v>0</v>
      </c>
      <c r="N53" s="161">
        <f>Оборачиваемость!N$11/30*'Закупки сырья'!N8</f>
        <v>0</v>
      </c>
      <c r="O53" s="194">
        <f t="shared" si="2"/>
        <v>0</v>
      </c>
    </row>
    <row r="54" spans="1:15" ht="10.5">
      <c r="A54" s="16" t="s">
        <v>406</v>
      </c>
      <c r="B54" s="316"/>
      <c r="C54" s="113">
        <f>Оборачиваемость!C$11/30*'Закупки сырья'!C9</f>
        <v>0</v>
      </c>
      <c r="D54" s="113">
        <f>Оборачиваемость!D$11/30*'Закупки сырья'!D9</f>
        <v>0</v>
      </c>
      <c r="E54" s="113">
        <f>Оборачиваемость!E$11/30*'Закупки сырья'!E9</f>
        <v>0</v>
      </c>
      <c r="F54" s="113">
        <f>Оборачиваемость!F$11/30*'Закупки сырья'!F9</f>
        <v>0</v>
      </c>
      <c r="G54" s="113">
        <f>Оборачиваемость!G$11/30*'Закупки сырья'!G9</f>
        <v>0</v>
      </c>
      <c r="H54" s="113">
        <f>Оборачиваемость!H$11/30*'Закупки сырья'!H9</f>
        <v>0</v>
      </c>
      <c r="I54" s="113">
        <f>Оборачиваемость!I$11/30*'Закупки сырья'!I9</f>
        <v>0</v>
      </c>
      <c r="J54" s="113">
        <f>Оборачиваемость!J$11/30*'Закупки сырья'!J9</f>
        <v>0</v>
      </c>
      <c r="K54" s="113">
        <f>Оборачиваемость!K$11/30*'Закупки сырья'!K9</f>
        <v>0</v>
      </c>
      <c r="L54" s="113">
        <f>Оборачиваемость!L$11/30*'Закупки сырья'!L9</f>
        <v>0</v>
      </c>
      <c r="M54" s="113">
        <f>Оборачиваемость!M$11/30*'Закупки сырья'!M9</f>
        <v>0</v>
      </c>
      <c r="N54" s="161">
        <f>Оборачиваемость!N$11/30*'Закупки сырья'!N9</f>
        <v>0</v>
      </c>
      <c r="O54" s="194">
        <f t="shared" si="2"/>
        <v>0</v>
      </c>
    </row>
    <row r="55" spans="1:15" ht="10.5">
      <c r="A55" s="16" t="s">
        <v>407</v>
      </c>
      <c r="B55" s="316"/>
      <c r="C55" s="113">
        <f>Оборачиваемость!C$11/30*'Закупки сырья'!C10</f>
        <v>0</v>
      </c>
      <c r="D55" s="113">
        <f>Оборачиваемость!D$11/30*'Закупки сырья'!D10</f>
        <v>0</v>
      </c>
      <c r="E55" s="113">
        <f>Оборачиваемость!E$11/30*'Закупки сырья'!E10</f>
        <v>0</v>
      </c>
      <c r="F55" s="113">
        <f>Оборачиваемость!F$11/30*'Закупки сырья'!F10</f>
        <v>0</v>
      </c>
      <c r="G55" s="113">
        <f>Оборачиваемость!G$11/30*'Закупки сырья'!G10</f>
        <v>0</v>
      </c>
      <c r="H55" s="113">
        <f>Оборачиваемость!H$11/30*'Закупки сырья'!H10</f>
        <v>0</v>
      </c>
      <c r="I55" s="113">
        <f>Оборачиваемость!I$11/30*'Закупки сырья'!I10</f>
        <v>0</v>
      </c>
      <c r="J55" s="113">
        <f>Оборачиваемость!J$11/30*'Закупки сырья'!J10</f>
        <v>0</v>
      </c>
      <c r="K55" s="113">
        <f>Оборачиваемость!K$11/30*'Закупки сырья'!K10</f>
        <v>0</v>
      </c>
      <c r="L55" s="113">
        <f>Оборачиваемость!L$11/30*'Закупки сырья'!L10</f>
        <v>0</v>
      </c>
      <c r="M55" s="113">
        <f>Оборачиваемость!M$11/30*'Закупки сырья'!M10</f>
        <v>0</v>
      </c>
      <c r="N55" s="161">
        <f>Оборачиваемость!N$11/30*'Закупки сырья'!N10</f>
        <v>0</v>
      </c>
      <c r="O55" s="194">
        <f t="shared" si="2"/>
        <v>0</v>
      </c>
    </row>
    <row r="56" spans="1:15" ht="10.5">
      <c r="A56" s="16" t="s">
        <v>408</v>
      </c>
      <c r="B56" s="316"/>
      <c r="C56" s="113">
        <f>Оборачиваемость!C$11/30*'Закупки сырья'!C11</f>
        <v>0</v>
      </c>
      <c r="D56" s="113">
        <f>Оборачиваемость!D$11/30*'Закупки сырья'!D11</f>
        <v>0</v>
      </c>
      <c r="E56" s="113">
        <f>Оборачиваемость!E$11/30*'Закупки сырья'!E11</f>
        <v>0</v>
      </c>
      <c r="F56" s="113">
        <f>Оборачиваемость!F$11/30*'Закупки сырья'!F11</f>
        <v>0</v>
      </c>
      <c r="G56" s="113">
        <f>Оборачиваемость!G$11/30*'Закупки сырья'!G11</f>
        <v>0</v>
      </c>
      <c r="H56" s="113">
        <f>Оборачиваемость!H$11/30*'Закупки сырья'!H11</f>
        <v>0</v>
      </c>
      <c r="I56" s="113">
        <f>Оборачиваемость!I$11/30*'Закупки сырья'!I11</f>
        <v>0</v>
      </c>
      <c r="J56" s="113">
        <f>Оборачиваемость!J$11/30*'Закупки сырья'!J11</f>
        <v>0</v>
      </c>
      <c r="K56" s="113">
        <f>Оборачиваемость!K$11/30*'Закупки сырья'!K11</f>
        <v>0</v>
      </c>
      <c r="L56" s="113">
        <f>Оборачиваемость!L$11/30*'Закупки сырья'!L11</f>
        <v>0</v>
      </c>
      <c r="M56" s="113">
        <f>Оборачиваемость!M$11/30*'Закупки сырья'!M11</f>
        <v>0</v>
      </c>
      <c r="N56" s="161">
        <f>Оборачиваемость!N$11/30*'Закупки сырья'!N11</f>
        <v>0</v>
      </c>
      <c r="O56" s="194">
        <f t="shared" si="2"/>
        <v>0</v>
      </c>
    </row>
    <row r="57" spans="1:15" ht="10.5">
      <c r="A57" s="16" t="s">
        <v>409</v>
      </c>
      <c r="B57" s="316"/>
      <c r="C57" s="113">
        <f>Оборачиваемость!C$11/30*'Закупки сырья'!C12</f>
        <v>0</v>
      </c>
      <c r="D57" s="113">
        <f>Оборачиваемость!D$11/30*'Закупки сырья'!D12</f>
        <v>0</v>
      </c>
      <c r="E57" s="113">
        <f>Оборачиваемость!E$11/30*'Закупки сырья'!E12</f>
        <v>0</v>
      </c>
      <c r="F57" s="113">
        <f>Оборачиваемость!F$11/30*'Закупки сырья'!F12</f>
        <v>0</v>
      </c>
      <c r="G57" s="113">
        <f>Оборачиваемость!G$11/30*'Закупки сырья'!G12</f>
        <v>0</v>
      </c>
      <c r="H57" s="113">
        <f>Оборачиваемость!H$11/30*'Закупки сырья'!H12</f>
        <v>0</v>
      </c>
      <c r="I57" s="113">
        <f>Оборачиваемость!I$11/30*'Закупки сырья'!I12</f>
        <v>0</v>
      </c>
      <c r="J57" s="113">
        <f>Оборачиваемость!J$11/30*'Закупки сырья'!J12</f>
        <v>0</v>
      </c>
      <c r="K57" s="113">
        <f>Оборачиваемость!K$11/30*'Закупки сырья'!K12</f>
        <v>0</v>
      </c>
      <c r="L57" s="113">
        <f>Оборачиваемость!L$11/30*'Закупки сырья'!L12</f>
        <v>0</v>
      </c>
      <c r="M57" s="113">
        <f>Оборачиваемость!M$11/30*'Закупки сырья'!M12</f>
        <v>0</v>
      </c>
      <c r="N57" s="161">
        <f>Оборачиваемость!N$11/30*'Закупки сырья'!N12</f>
        <v>0</v>
      </c>
      <c r="O57" s="194">
        <f t="shared" si="2"/>
        <v>0</v>
      </c>
    </row>
    <row r="58" spans="1:15" ht="10.5">
      <c r="A58" s="16" t="s">
        <v>410</v>
      </c>
      <c r="B58" s="316"/>
      <c r="C58" s="113">
        <f>Оборачиваемость!C$11/30*'Закупки сырья'!C13</f>
        <v>0</v>
      </c>
      <c r="D58" s="113">
        <f>Оборачиваемость!D$11/30*'Закупки сырья'!D13</f>
        <v>0</v>
      </c>
      <c r="E58" s="113">
        <f>Оборачиваемость!E$11/30*'Закупки сырья'!E13</f>
        <v>0</v>
      </c>
      <c r="F58" s="113">
        <f>Оборачиваемость!F$11/30*'Закупки сырья'!F13</f>
        <v>0</v>
      </c>
      <c r="G58" s="113">
        <f>Оборачиваемость!G$11/30*'Закупки сырья'!G13</f>
        <v>0</v>
      </c>
      <c r="H58" s="113">
        <f>Оборачиваемость!H$11/30*'Закупки сырья'!H13</f>
        <v>0</v>
      </c>
      <c r="I58" s="113">
        <f>Оборачиваемость!I$11/30*'Закупки сырья'!I13</f>
        <v>0</v>
      </c>
      <c r="J58" s="113">
        <f>Оборачиваемость!J$11/30*'Закупки сырья'!J13</f>
        <v>0</v>
      </c>
      <c r="K58" s="113">
        <f>Оборачиваемость!K$11/30*'Закупки сырья'!K13</f>
        <v>0</v>
      </c>
      <c r="L58" s="113">
        <f>Оборачиваемость!L$11/30*'Закупки сырья'!L13</f>
        <v>0</v>
      </c>
      <c r="M58" s="113">
        <f>Оборачиваемость!M$11/30*'Закупки сырья'!M13</f>
        <v>0</v>
      </c>
      <c r="N58" s="161">
        <f>Оборачиваемость!N$11/30*'Закупки сырья'!N13</f>
        <v>0</v>
      </c>
      <c r="O58" s="194">
        <f t="shared" si="2"/>
        <v>0</v>
      </c>
    </row>
    <row r="59" spans="1:15" ht="10.5">
      <c r="A59" s="93" t="s">
        <v>64</v>
      </c>
      <c r="B59" s="313" t="s">
        <v>342</v>
      </c>
      <c r="C59" s="324" t="s">
        <v>342</v>
      </c>
      <c r="D59" s="324" t="s">
        <v>342</v>
      </c>
      <c r="E59" s="324" t="s">
        <v>342</v>
      </c>
      <c r="F59" s="324" t="s">
        <v>342</v>
      </c>
      <c r="G59" s="324" t="s">
        <v>342</v>
      </c>
      <c r="H59" s="324" t="s">
        <v>342</v>
      </c>
      <c r="I59" s="324" t="s">
        <v>342</v>
      </c>
      <c r="J59" s="324" t="s">
        <v>342</v>
      </c>
      <c r="K59" s="324" t="s">
        <v>342</v>
      </c>
      <c r="L59" s="324" t="s">
        <v>342</v>
      </c>
      <c r="M59" s="324" t="s">
        <v>342</v>
      </c>
      <c r="N59" s="325" t="s">
        <v>342</v>
      </c>
      <c r="O59" s="326" t="s">
        <v>342</v>
      </c>
    </row>
    <row r="60" spans="1:15" ht="10.5">
      <c r="A60" s="93"/>
      <c r="B60" s="90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320"/>
      <c r="O60" s="133"/>
    </row>
    <row r="61" spans="1:15" s="34" customFormat="1" ht="10.5">
      <c r="A61" s="321" t="s">
        <v>163</v>
      </c>
      <c r="B61" s="322"/>
      <c r="C61" s="308">
        <f aca="true" t="shared" si="3" ref="C61:N61">SUM(C50:C59)</f>
        <v>0</v>
      </c>
      <c r="D61" s="308">
        <f t="shared" si="3"/>
        <v>0</v>
      </c>
      <c r="E61" s="308">
        <f t="shared" si="3"/>
        <v>0</v>
      </c>
      <c r="F61" s="308">
        <f t="shared" si="3"/>
        <v>0</v>
      </c>
      <c r="G61" s="308">
        <f t="shared" si="3"/>
        <v>0</v>
      </c>
      <c r="H61" s="308">
        <f t="shared" si="3"/>
        <v>0</v>
      </c>
      <c r="I61" s="308">
        <f t="shared" si="3"/>
        <v>0</v>
      </c>
      <c r="J61" s="308">
        <f t="shared" si="3"/>
        <v>0</v>
      </c>
      <c r="K61" s="308">
        <f t="shared" si="3"/>
        <v>0</v>
      </c>
      <c r="L61" s="308">
        <f t="shared" si="3"/>
        <v>0</v>
      </c>
      <c r="M61" s="308">
        <f t="shared" si="3"/>
        <v>0</v>
      </c>
      <c r="N61" s="309">
        <f t="shared" si="3"/>
        <v>0</v>
      </c>
      <c r="O61" s="140">
        <f>SUM(C61:N61)</f>
        <v>0</v>
      </c>
    </row>
    <row r="62" ht="12.75">
      <c r="A62" s="95"/>
    </row>
    <row r="63" spans="1:16" ht="13.5" thickBot="1">
      <c r="A63" s="77" t="s">
        <v>315</v>
      </c>
      <c r="E63" s="78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79"/>
    </row>
    <row r="64" spans="1:15" ht="10.5">
      <c r="A64" s="80" t="s">
        <v>90</v>
      </c>
      <c r="B64" s="55">
        <v>2007</v>
      </c>
      <c r="C64" s="56">
        <v>39448</v>
      </c>
      <c r="D64" s="56">
        <v>39479</v>
      </c>
      <c r="E64" s="56">
        <v>39508</v>
      </c>
      <c r="F64" s="56">
        <v>39539</v>
      </c>
      <c r="G64" s="56">
        <v>39569</v>
      </c>
      <c r="H64" s="56">
        <v>39600</v>
      </c>
      <c r="I64" s="56">
        <v>39630</v>
      </c>
      <c r="J64" s="56">
        <v>39661</v>
      </c>
      <c r="K64" s="56">
        <v>39692</v>
      </c>
      <c r="L64" s="56">
        <v>39722</v>
      </c>
      <c r="M64" s="56">
        <v>39753</v>
      </c>
      <c r="N64" s="56">
        <v>39783</v>
      </c>
      <c r="O64" s="56" t="s">
        <v>92</v>
      </c>
    </row>
    <row r="65" spans="1:15" ht="10.5">
      <c r="A65" s="16" t="s">
        <v>402</v>
      </c>
      <c r="B65" s="157">
        <f>B50*VLOOKUP($A65,'Закупки сырья'!$A$47:$N$56,2,0)</f>
        <v>0</v>
      </c>
      <c r="C65" s="157">
        <f>C50*VLOOKUP($A65,'Закупки сырья'!$A$47:$N$56,3,0)</f>
        <v>0</v>
      </c>
      <c r="D65" s="157">
        <f>D50*VLOOKUP($A65,'Закупки сырья'!$A$47:$N$56,4,0)</f>
        <v>0</v>
      </c>
      <c r="E65" s="157">
        <f>E50*VLOOKUP($A65,'Закупки сырья'!$A$47:$N$56,5,0)</f>
        <v>0</v>
      </c>
      <c r="F65" s="157">
        <f>F50*VLOOKUP($A65,'Закупки сырья'!$A$47:$N$56,6,0)</f>
        <v>0</v>
      </c>
      <c r="G65" s="157">
        <f>G50*VLOOKUP($A65,'Закупки сырья'!$A$47:$N$56,7,0)</f>
        <v>0</v>
      </c>
      <c r="H65" s="157">
        <f>H50*VLOOKUP($A65,'Закупки сырья'!$A$47:$N$56,8,0)</f>
        <v>0</v>
      </c>
      <c r="I65" s="157">
        <f>I50*VLOOKUP($A65,'Закупки сырья'!$A$47:$N$56,9,0)</f>
        <v>0</v>
      </c>
      <c r="J65" s="157">
        <f>J50*VLOOKUP($A65,'Закупки сырья'!$A$47:$N$56,10,0)</f>
        <v>0</v>
      </c>
      <c r="K65" s="157">
        <f>K50*VLOOKUP($A65,'Закупки сырья'!$A$47:$N$56,11,0)</f>
        <v>0</v>
      </c>
      <c r="L65" s="157">
        <f>L50*VLOOKUP($A65,'Закупки сырья'!$A$47:$N$56,12,0)</f>
        <v>0</v>
      </c>
      <c r="M65" s="157">
        <f>M50*VLOOKUP($A65,'Закупки сырья'!$A$47:$N$56,13,0)</f>
        <v>0</v>
      </c>
      <c r="N65" s="158">
        <f>N50*VLOOKUP($A65,'Закупки сырья'!$A$47:$N$56,14,0)</f>
        <v>0</v>
      </c>
      <c r="O65" s="192">
        <f aca="true" t="shared" si="4" ref="O65:O73">SUM(C65:N65)/12</f>
        <v>0</v>
      </c>
    </row>
    <row r="66" spans="1:15" ht="10.5">
      <c r="A66" s="16" t="s">
        <v>403</v>
      </c>
      <c r="B66" s="113">
        <f>B51*VLOOKUP($A66,'Закупки сырья'!$A$47:$N$56,2,0)</f>
        <v>0</v>
      </c>
      <c r="C66" s="113">
        <f>C51*VLOOKUP($A66,'Закупки сырья'!$A$47:$N$56,3,0)</f>
        <v>0</v>
      </c>
      <c r="D66" s="113">
        <f>D51*VLOOKUP($A66,'Закупки сырья'!$A$47:$N$56,4,0)</f>
        <v>0</v>
      </c>
      <c r="E66" s="113">
        <f>E51*VLOOKUP($A66,'Закупки сырья'!$A$47:$N$56,5,0)</f>
        <v>0</v>
      </c>
      <c r="F66" s="113">
        <f>F51*VLOOKUP($A66,'Закупки сырья'!$A$47:$N$56,6,0)</f>
        <v>0</v>
      </c>
      <c r="G66" s="113">
        <f>G51*VLOOKUP($A66,'Закупки сырья'!$A$47:$N$56,7,0)</f>
        <v>0</v>
      </c>
      <c r="H66" s="113">
        <f>H51*VLOOKUP($A66,'Закупки сырья'!$A$47:$N$56,8,0)</f>
        <v>0</v>
      </c>
      <c r="I66" s="113">
        <f>I51*VLOOKUP($A66,'Закупки сырья'!$A$47:$N$56,9,0)</f>
        <v>0</v>
      </c>
      <c r="J66" s="113">
        <f>J51*VLOOKUP($A66,'Закупки сырья'!$A$47:$N$56,10,0)</f>
        <v>0</v>
      </c>
      <c r="K66" s="113">
        <f>K51*VLOOKUP($A66,'Закупки сырья'!$A$47:$N$56,11,0)</f>
        <v>0</v>
      </c>
      <c r="L66" s="113">
        <f>L51*VLOOKUP($A66,'Закупки сырья'!$A$47:$N$56,12,0)</f>
        <v>0</v>
      </c>
      <c r="M66" s="113">
        <f>M51*VLOOKUP($A66,'Закупки сырья'!$A$47:$N$56,13,0)</f>
        <v>0</v>
      </c>
      <c r="N66" s="161">
        <f>N51*VLOOKUP($A66,'Закупки сырья'!$A$47:$N$56,14,0)</f>
        <v>0</v>
      </c>
      <c r="O66" s="194">
        <f t="shared" si="4"/>
        <v>0</v>
      </c>
    </row>
    <row r="67" spans="1:15" ht="10.5">
      <c r="A67" s="16" t="s">
        <v>404</v>
      </c>
      <c r="B67" s="113">
        <f>B52*VLOOKUP($A67,'Закупки сырья'!$A$47:$N$56,2,0)</f>
        <v>0</v>
      </c>
      <c r="C67" s="113">
        <f>C52*VLOOKUP($A67,'Закупки сырья'!$A$47:$N$56,3,0)</f>
        <v>0</v>
      </c>
      <c r="D67" s="113">
        <f>D52*VLOOKUP($A67,'Закупки сырья'!$A$47:$N$56,4,0)</f>
        <v>0</v>
      </c>
      <c r="E67" s="113">
        <f>E52*VLOOKUP($A67,'Закупки сырья'!$A$47:$N$56,5,0)</f>
        <v>0</v>
      </c>
      <c r="F67" s="113">
        <f>F52*VLOOKUP($A67,'Закупки сырья'!$A$47:$N$56,6,0)</f>
        <v>0</v>
      </c>
      <c r="G67" s="113">
        <f>G52*VLOOKUP($A67,'Закупки сырья'!$A$47:$N$56,7,0)</f>
        <v>0</v>
      </c>
      <c r="H67" s="113">
        <f>H52*VLOOKUP($A67,'Закупки сырья'!$A$47:$N$56,8,0)</f>
        <v>0</v>
      </c>
      <c r="I67" s="113">
        <f>I52*VLOOKUP($A67,'Закупки сырья'!$A$47:$N$56,9,0)</f>
        <v>0</v>
      </c>
      <c r="J67" s="113">
        <f>J52*VLOOKUP($A67,'Закупки сырья'!$A$47:$N$56,10,0)</f>
        <v>0</v>
      </c>
      <c r="K67" s="113">
        <f>K52*VLOOKUP($A67,'Закупки сырья'!$A$47:$N$56,11,0)</f>
        <v>0</v>
      </c>
      <c r="L67" s="113">
        <f>L52*VLOOKUP($A67,'Закупки сырья'!$A$47:$N$56,12,0)</f>
        <v>0</v>
      </c>
      <c r="M67" s="113">
        <f>M52*VLOOKUP($A67,'Закупки сырья'!$A$47:$N$56,13,0)</f>
        <v>0</v>
      </c>
      <c r="N67" s="161">
        <f>N52*VLOOKUP($A67,'Закупки сырья'!$A$47:$N$56,14,0)</f>
        <v>0</v>
      </c>
      <c r="O67" s="194">
        <f t="shared" si="4"/>
        <v>0</v>
      </c>
    </row>
    <row r="68" spans="1:15" ht="10.5">
      <c r="A68" s="16" t="s">
        <v>405</v>
      </c>
      <c r="B68" s="113">
        <f>B53*VLOOKUP($A68,'Закупки сырья'!$A$47:$N$56,2,0)</f>
        <v>0</v>
      </c>
      <c r="C68" s="113">
        <f>C53*VLOOKUP($A68,'Закупки сырья'!$A$47:$N$56,3,0)</f>
        <v>0</v>
      </c>
      <c r="D68" s="113">
        <f>D53*VLOOKUP($A68,'Закупки сырья'!$A$47:$N$56,4,0)</f>
        <v>0</v>
      </c>
      <c r="E68" s="113">
        <f>E53*VLOOKUP($A68,'Закупки сырья'!$A$47:$N$56,5,0)</f>
        <v>0</v>
      </c>
      <c r="F68" s="113">
        <f>F53*VLOOKUP($A68,'Закупки сырья'!$A$47:$N$56,6,0)</f>
        <v>0</v>
      </c>
      <c r="G68" s="113">
        <f>G53*VLOOKUP($A68,'Закупки сырья'!$A$47:$N$56,7,0)</f>
        <v>0</v>
      </c>
      <c r="H68" s="113">
        <f>H53*VLOOKUP($A68,'Закупки сырья'!$A$47:$N$56,8,0)</f>
        <v>0</v>
      </c>
      <c r="I68" s="113">
        <f>I53*VLOOKUP($A68,'Закупки сырья'!$A$47:$N$56,9,0)</f>
        <v>0</v>
      </c>
      <c r="J68" s="113">
        <f>J53*VLOOKUP($A68,'Закупки сырья'!$A$47:$N$56,10,0)</f>
        <v>0</v>
      </c>
      <c r="K68" s="113">
        <f>K53*VLOOKUP($A68,'Закупки сырья'!$A$47:$N$56,11,0)</f>
        <v>0</v>
      </c>
      <c r="L68" s="113">
        <f>L53*VLOOKUP($A68,'Закупки сырья'!$A$47:$N$56,12,0)</f>
        <v>0</v>
      </c>
      <c r="M68" s="113">
        <f>M53*VLOOKUP($A68,'Закупки сырья'!$A$47:$N$56,13,0)</f>
        <v>0</v>
      </c>
      <c r="N68" s="161">
        <f>N53*VLOOKUP($A68,'Закупки сырья'!$A$47:$N$56,14,0)</f>
        <v>0</v>
      </c>
      <c r="O68" s="194">
        <f t="shared" si="4"/>
        <v>0</v>
      </c>
    </row>
    <row r="69" spans="1:15" ht="10.5">
      <c r="A69" s="16" t="s">
        <v>406</v>
      </c>
      <c r="B69" s="113">
        <f>B54*VLOOKUP($A69,'Закупки сырья'!$A$47:$N$56,2,0)</f>
        <v>0</v>
      </c>
      <c r="C69" s="113">
        <f>C54*VLOOKUP($A69,'Закупки сырья'!$A$47:$N$56,3,0)</f>
        <v>0</v>
      </c>
      <c r="D69" s="113">
        <f>D54*VLOOKUP($A69,'Закупки сырья'!$A$47:$N$56,4,0)</f>
        <v>0</v>
      </c>
      <c r="E69" s="113">
        <f>E54*VLOOKUP($A69,'Закупки сырья'!$A$47:$N$56,5,0)</f>
        <v>0</v>
      </c>
      <c r="F69" s="113">
        <f>F54*VLOOKUP($A69,'Закупки сырья'!$A$47:$N$56,6,0)</f>
        <v>0</v>
      </c>
      <c r="G69" s="113">
        <f>G54*VLOOKUP($A69,'Закупки сырья'!$A$47:$N$56,7,0)</f>
        <v>0</v>
      </c>
      <c r="H69" s="113">
        <f>H54*VLOOKUP($A69,'Закупки сырья'!$A$47:$N$56,8,0)</f>
        <v>0</v>
      </c>
      <c r="I69" s="113">
        <f>I54*VLOOKUP($A69,'Закупки сырья'!$A$47:$N$56,9,0)</f>
        <v>0</v>
      </c>
      <c r="J69" s="113">
        <f>J54*VLOOKUP($A69,'Закупки сырья'!$A$47:$N$56,10,0)</f>
        <v>0</v>
      </c>
      <c r="K69" s="113">
        <f>K54*VLOOKUP($A69,'Закупки сырья'!$A$47:$N$56,11,0)</f>
        <v>0</v>
      </c>
      <c r="L69" s="113">
        <f>L54*VLOOKUP($A69,'Закупки сырья'!$A$47:$N$56,12,0)</f>
        <v>0</v>
      </c>
      <c r="M69" s="113">
        <f>M54*VLOOKUP($A69,'Закупки сырья'!$A$47:$N$56,13,0)</f>
        <v>0</v>
      </c>
      <c r="N69" s="161">
        <f>N54*VLOOKUP($A69,'Закупки сырья'!$A$47:$N$56,14,0)</f>
        <v>0</v>
      </c>
      <c r="O69" s="194">
        <f t="shared" si="4"/>
        <v>0</v>
      </c>
    </row>
    <row r="70" spans="1:15" ht="10.5">
      <c r="A70" s="16" t="s">
        <v>407</v>
      </c>
      <c r="B70" s="113">
        <f>B55*VLOOKUP($A70,'Закупки сырья'!$A$47:$N$56,2,0)</f>
        <v>0</v>
      </c>
      <c r="C70" s="113">
        <f>C55*VLOOKUP($A70,'Закупки сырья'!$A$47:$N$56,3,0)</f>
        <v>0</v>
      </c>
      <c r="D70" s="113">
        <f>D55*VLOOKUP($A70,'Закупки сырья'!$A$47:$N$56,4,0)</f>
        <v>0</v>
      </c>
      <c r="E70" s="113">
        <f>E55*VLOOKUP($A70,'Закупки сырья'!$A$47:$N$56,5,0)</f>
        <v>0</v>
      </c>
      <c r="F70" s="113">
        <f>F55*VLOOKUP($A70,'Закупки сырья'!$A$47:$N$56,6,0)</f>
        <v>0</v>
      </c>
      <c r="G70" s="113">
        <f>G55*VLOOKUP($A70,'Закупки сырья'!$A$47:$N$56,7,0)</f>
        <v>0</v>
      </c>
      <c r="H70" s="113">
        <f>H55*VLOOKUP($A70,'Закупки сырья'!$A$47:$N$56,8,0)</f>
        <v>0</v>
      </c>
      <c r="I70" s="113">
        <f>I55*VLOOKUP($A70,'Закупки сырья'!$A$47:$N$56,9,0)</f>
        <v>0</v>
      </c>
      <c r="J70" s="113">
        <f>J55*VLOOKUP($A70,'Закупки сырья'!$A$47:$N$56,10,0)</f>
        <v>0</v>
      </c>
      <c r="K70" s="113">
        <f>K55*VLOOKUP($A70,'Закупки сырья'!$A$47:$N$56,11,0)</f>
        <v>0</v>
      </c>
      <c r="L70" s="113">
        <f>L55*VLOOKUP($A70,'Закупки сырья'!$A$47:$N$56,12,0)</f>
        <v>0</v>
      </c>
      <c r="M70" s="113">
        <f>M55*VLOOKUP($A70,'Закупки сырья'!$A$47:$N$56,13,0)</f>
        <v>0</v>
      </c>
      <c r="N70" s="161">
        <f>N55*VLOOKUP($A70,'Закупки сырья'!$A$47:$N$56,14,0)</f>
        <v>0</v>
      </c>
      <c r="O70" s="194">
        <f t="shared" si="4"/>
        <v>0</v>
      </c>
    </row>
    <row r="71" spans="1:15" ht="10.5">
      <c r="A71" s="16" t="s">
        <v>408</v>
      </c>
      <c r="B71" s="113">
        <f>B56*VLOOKUP($A71,'Закупки сырья'!$A$47:$N$56,2,0)</f>
        <v>0</v>
      </c>
      <c r="C71" s="113">
        <f>C56*VLOOKUP($A71,'Закупки сырья'!$A$47:$N$56,3,0)</f>
        <v>0</v>
      </c>
      <c r="D71" s="113">
        <f>D56*VLOOKUP($A71,'Закупки сырья'!$A$47:$N$56,4,0)</f>
        <v>0</v>
      </c>
      <c r="E71" s="113">
        <f>E56*VLOOKUP($A71,'Закупки сырья'!$A$47:$N$56,5,0)</f>
        <v>0</v>
      </c>
      <c r="F71" s="113">
        <f>F56*VLOOKUP($A71,'Закупки сырья'!$A$47:$N$56,6,0)</f>
        <v>0</v>
      </c>
      <c r="G71" s="113">
        <f>G56*VLOOKUP($A71,'Закупки сырья'!$A$47:$N$56,7,0)</f>
        <v>0</v>
      </c>
      <c r="H71" s="113">
        <f>H56*VLOOKUP($A71,'Закупки сырья'!$A$47:$N$56,8,0)</f>
        <v>0</v>
      </c>
      <c r="I71" s="113">
        <f>I56*VLOOKUP($A71,'Закупки сырья'!$A$47:$N$56,9,0)</f>
        <v>0</v>
      </c>
      <c r="J71" s="113">
        <f>J56*VLOOKUP($A71,'Закупки сырья'!$A$47:$N$56,10,0)</f>
        <v>0</v>
      </c>
      <c r="K71" s="113">
        <f>K56*VLOOKUP($A71,'Закупки сырья'!$A$47:$N$56,11,0)</f>
        <v>0</v>
      </c>
      <c r="L71" s="113">
        <f>L56*VLOOKUP($A71,'Закупки сырья'!$A$47:$N$56,12,0)</f>
        <v>0</v>
      </c>
      <c r="M71" s="113">
        <f>M56*VLOOKUP($A71,'Закупки сырья'!$A$47:$N$56,13,0)</f>
        <v>0</v>
      </c>
      <c r="N71" s="161">
        <f>N56*VLOOKUP($A71,'Закупки сырья'!$A$47:$N$56,14,0)</f>
        <v>0</v>
      </c>
      <c r="O71" s="194">
        <f t="shared" si="4"/>
        <v>0</v>
      </c>
    </row>
    <row r="72" spans="1:15" ht="10.5">
      <c r="A72" s="16" t="s">
        <v>409</v>
      </c>
      <c r="B72" s="113">
        <f>B57*VLOOKUP($A72,'Закупки сырья'!$A$47:$N$56,2,0)</f>
        <v>0</v>
      </c>
      <c r="C72" s="113">
        <f>C57*VLOOKUP($A72,'Закупки сырья'!$A$47:$N$56,3,0)</f>
        <v>0</v>
      </c>
      <c r="D72" s="113">
        <f>D57*VLOOKUP($A72,'Закупки сырья'!$A$47:$N$56,4,0)</f>
        <v>0</v>
      </c>
      <c r="E72" s="113">
        <f>E57*VLOOKUP($A72,'Закупки сырья'!$A$47:$N$56,5,0)</f>
        <v>0</v>
      </c>
      <c r="F72" s="113">
        <f>F57*VLOOKUP($A72,'Закупки сырья'!$A$47:$N$56,6,0)</f>
        <v>0</v>
      </c>
      <c r="G72" s="113">
        <f>G57*VLOOKUP($A72,'Закупки сырья'!$A$47:$N$56,7,0)</f>
        <v>0</v>
      </c>
      <c r="H72" s="113">
        <f>H57*VLOOKUP($A72,'Закупки сырья'!$A$47:$N$56,8,0)</f>
        <v>0</v>
      </c>
      <c r="I72" s="113">
        <f>I57*VLOOKUP($A72,'Закупки сырья'!$A$47:$N$56,9,0)</f>
        <v>0</v>
      </c>
      <c r="J72" s="113">
        <f>J57*VLOOKUP($A72,'Закупки сырья'!$A$47:$N$56,10,0)</f>
        <v>0</v>
      </c>
      <c r="K72" s="113">
        <f>K57*VLOOKUP($A72,'Закупки сырья'!$A$47:$N$56,11,0)</f>
        <v>0</v>
      </c>
      <c r="L72" s="113">
        <f>L57*VLOOKUP($A72,'Закупки сырья'!$A$47:$N$56,12,0)</f>
        <v>0</v>
      </c>
      <c r="M72" s="113">
        <f>M57*VLOOKUP($A72,'Закупки сырья'!$A$47:$N$56,13,0)</f>
        <v>0</v>
      </c>
      <c r="N72" s="161">
        <f>N57*VLOOKUP($A72,'Закупки сырья'!$A$47:$N$56,14,0)</f>
        <v>0</v>
      </c>
      <c r="O72" s="194">
        <f t="shared" si="4"/>
        <v>0</v>
      </c>
    </row>
    <row r="73" spans="1:15" ht="10.5">
      <c r="A73" s="16" t="s">
        <v>410</v>
      </c>
      <c r="B73" s="113">
        <f>B58*VLOOKUP($A73,'Закупки сырья'!$A$47:$N$56,2,0)</f>
        <v>0</v>
      </c>
      <c r="C73" s="113">
        <f>C58*VLOOKUP($A73,'Закупки сырья'!$A$47:$N$56,3,0)</f>
        <v>0</v>
      </c>
      <c r="D73" s="113">
        <f>D58*VLOOKUP($A73,'Закупки сырья'!$A$47:$N$56,4,0)</f>
        <v>0</v>
      </c>
      <c r="E73" s="113">
        <f>E58*VLOOKUP($A73,'Закупки сырья'!$A$47:$N$56,5,0)</f>
        <v>0</v>
      </c>
      <c r="F73" s="113">
        <f>F58*VLOOKUP($A73,'Закупки сырья'!$A$47:$N$56,6,0)</f>
        <v>0</v>
      </c>
      <c r="G73" s="113">
        <f>G58*VLOOKUP($A73,'Закупки сырья'!$A$47:$N$56,7,0)</f>
        <v>0</v>
      </c>
      <c r="H73" s="113">
        <f>H58*VLOOKUP($A73,'Закупки сырья'!$A$47:$N$56,8,0)</f>
        <v>0</v>
      </c>
      <c r="I73" s="113">
        <f>I58*VLOOKUP($A73,'Закупки сырья'!$A$47:$N$56,9,0)</f>
        <v>0</v>
      </c>
      <c r="J73" s="113">
        <f>J58*VLOOKUP($A73,'Закупки сырья'!$A$47:$N$56,10,0)</f>
        <v>0</v>
      </c>
      <c r="K73" s="113">
        <f>K58*VLOOKUP($A73,'Закупки сырья'!$A$47:$N$56,11,0)</f>
        <v>0</v>
      </c>
      <c r="L73" s="113">
        <f>L58*VLOOKUP($A73,'Закупки сырья'!$A$47:$N$56,12,0)</f>
        <v>0</v>
      </c>
      <c r="M73" s="113">
        <f>M58*VLOOKUP($A73,'Закупки сырья'!$A$47:$N$56,13,0)</f>
        <v>0</v>
      </c>
      <c r="N73" s="161">
        <f>N58*VLOOKUP($A73,'Закупки сырья'!$A$47:$N$56,14,0)</f>
        <v>0</v>
      </c>
      <c r="O73" s="194">
        <f t="shared" si="4"/>
        <v>0</v>
      </c>
    </row>
    <row r="74" spans="1:15" ht="10.5">
      <c r="A74" s="328" t="s">
        <v>64</v>
      </c>
      <c r="B74" s="329" t="s">
        <v>342</v>
      </c>
      <c r="C74" s="330" t="s">
        <v>342</v>
      </c>
      <c r="D74" s="330" t="s">
        <v>342</v>
      </c>
      <c r="E74" s="330" t="s">
        <v>342</v>
      </c>
      <c r="F74" s="330" t="s">
        <v>342</v>
      </c>
      <c r="G74" s="330" t="s">
        <v>342</v>
      </c>
      <c r="H74" s="330" t="s">
        <v>342</v>
      </c>
      <c r="I74" s="330" t="s">
        <v>342</v>
      </c>
      <c r="J74" s="330" t="s">
        <v>342</v>
      </c>
      <c r="K74" s="330" t="s">
        <v>342</v>
      </c>
      <c r="L74" s="330" t="s">
        <v>342</v>
      </c>
      <c r="M74" s="330" t="s">
        <v>342</v>
      </c>
      <c r="N74" s="331" t="s">
        <v>342</v>
      </c>
      <c r="O74" s="332" t="s">
        <v>342</v>
      </c>
    </row>
    <row r="75" spans="1:15" ht="10.5">
      <c r="A75" s="93"/>
      <c r="B75" s="90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320"/>
      <c r="O75" s="133"/>
    </row>
    <row r="76" spans="1:15" s="34" customFormat="1" ht="10.5">
      <c r="A76" s="321" t="s">
        <v>163</v>
      </c>
      <c r="B76" s="308">
        <f aca="true" t="shared" si="5" ref="B76:N76">SUM(B65:B74)</f>
        <v>0</v>
      </c>
      <c r="C76" s="308">
        <f t="shared" si="5"/>
        <v>0</v>
      </c>
      <c r="D76" s="308">
        <f t="shared" si="5"/>
        <v>0</v>
      </c>
      <c r="E76" s="308">
        <f t="shared" si="5"/>
        <v>0</v>
      </c>
      <c r="F76" s="308">
        <f t="shared" si="5"/>
        <v>0</v>
      </c>
      <c r="G76" s="308">
        <f t="shared" si="5"/>
        <v>0</v>
      </c>
      <c r="H76" s="308">
        <f t="shared" si="5"/>
        <v>0</v>
      </c>
      <c r="I76" s="308">
        <f t="shared" si="5"/>
        <v>0</v>
      </c>
      <c r="J76" s="308">
        <f t="shared" si="5"/>
        <v>0</v>
      </c>
      <c r="K76" s="308">
        <f t="shared" si="5"/>
        <v>0</v>
      </c>
      <c r="L76" s="308">
        <f t="shared" si="5"/>
        <v>0</v>
      </c>
      <c r="M76" s="308">
        <f t="shared" si="5"/>
        <v>0</v>
      </c>
      <c r="N76" s="309">
        <f t="shared" si="5"/>
        <v>0</v>
      </c>
      <c r="O76" s="140">
        <f>SUM(C76:N76)</f>
        <v>0</v>
      </c>
    </row>
  </sheetData>
  <mergeCells count="2">
    <mergeCell ref="A5:B5"/>
    <mergeCell ref="A4:B4"/>
  </mergeCells>
  <printOptions/>
  <pageMargins left="0.75" right="0.75" top="0.69" bottom="1.3" header="0.5" footer="0.5"/>
  <pageSetup horizontalDpi="600" verticalDpi="600" orientation="landscape" paperSize="9" scale="57" r:id="rId2"/>
  <headerFooter alignWithMargins="0">
    <oddHeader>&amp;LФинансовая бюджетная модель (производство)</oddHeader>
    <oddFooter>&amp;LСтраница &amp;P&amp;C&amp;G</oddFooter>
  </headerFooter>
  <rowBreaks count="1" manualBreakCount="1">
    <brk id="2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119"/>
  <sheetViews>
    <sheetView view="pageBreakPreview" zoomScaleSheetLayoutView="100" workbookViewId="0" topLeftCell="A1">
      <pane ySplit="1" topLeftCell="BM7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875" style="27" customWidth="1"/>
    <col min="2" max="2" width="19.875" style="27" customWidth="1"/>
    <col min="3" max="3" width="12.00390625" style="45" customWidth="1"/>
    <col min="4" max="10" width="11.25390625" style="45" bestFit="1" customWidth="1"/>
    <col min="11" max="14" width="12.375" style="45" bestFit="1" customWidth="1"/>
    <col min="15" max="15" width="17.00390625" style="79" customWidth="1"/>
    <col min="16" max="16384" width="9.125" style="27" customWidth="1"/>
  </cols>
  <sheetData>
    <row r="1" spans="1:3" ht="18">
      <c r="A1" s="608"/>
      <c r="C1" s="96" t="s">
        <v>65</v>
      </c>
    </row>
    <row r="2" ht="10.5">
      <c r="A2" s="34"/>
    </row>
    <row r="3" spans="1:3" ht="13.5" thickBot="1">
      <c r="A3" s="77" t="s">
        <v>343</v>
      </c>
      <c r="C3" s="27"/>
    </row>
    <row r="4" spans="1:15" ht="21">
      <c r="A4" s="55" t="s">
        <v>68</v>
      </c>
      <c r="B4" s="55" t="s">
        <v>69</v>
      </c>
      <c r="C4" s="56">
        <v>39448</v>
      </c>
      <c r="D4" s="56">
        <v>39479</v>
      </c>
      <c r="E4" s="56">
        <v>39508</v>
      </c>
      <c r="F4" s="56">
        <v>39539</v>
      </c>
      <c r="G4" s="56">
        <v>39569</v>
      </c>
      <c r="H4" s="56">
        <v>39600</v>
      </c>
      <c r="I4" s="56">
        <v>39630</v>
      </c>
      <c r="J4" s="56">
        <v>39661</v>
      </c>
      <c r="K4" s="56">
        <v>39692</v>
      </c>
      <c r="L4" s="56">
        <v>39722</v>
      </c>
      <c r="M4" s="56">
        <v>39753</v>
      </c>
      <c r="N4" s="56">
        <v>39783</v>
      </c>
      <c r="O4" s="340" t="s">
        <v>67</v>
      </c>
    </row>
    <row r="5" spans="1:15" ht="10.5">
      <c r="A5" s="97" t="s">
        <v>250</v>
      </c>
      <c r="B5" s="87" t="str">
        <f>VLOOKUP(A5,Классификаторы!$A:$B,2,FALSE)</f>
        <v>Продукт 1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9">
        <f aca="true" t="shared" si="0" ref="O5:O19">SUM(C5:N5)</f>
        <v>0</v>
      </c>
    </row>
    <row r="6" spans="1:15" ht="10.5">
      <c r="A6" s="97" t="s">
        <v>251</v>
      </c>
      <c r="B6" s="87" t="str">
        <f>VLOOKUP(A6,Классификаторы!$A:$B,2,FALSE)</f>
        <v>Продукт 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94">
        <f t="shared" si="0"/>
        <v>0</v>
      </c>
    </row>
    <row r="7" spans="1:15" ht="10.5">
      <c r="A7" s="97" t="s">
        <v>252</v>
      </c>
      <c r="B7" s="87" t="str">
        <f>VLOOKUP(A7,Классификаторы!$A:$B,2,FALSE)</f>
        <v>Продукт 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94">
        <f t="shared" si="0"/>
        <v>0</v>
      </c>
    </row>
    <row r="8" spans="1:15" ht="10.5">
      <c r="A8" s="97" t="s">
        <v>253</v>
      </c>
      <c r="B8" s="87" t="str">
        <f>VLOOKUP(A8,Классификаторы!$A:$B,2,FALSE)</f>
        <v>Продукт 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94">
        <f t="shared" si="0"/>
        <v>0</v>
      </c>
    </row>
    <row r="9" spans="1:15" ht="10.5">
      <c r="A9" s="97" t="s">
        <v>254</v>
      </c>
      <c r="B9" s="87" t="str">
        <f>VLOOKUP(A9,Классификаторы!$A:$B,2,FALSE)</f>
        <v>Продукт 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194">
        <f t="shared" si="0"/>
        <v>0</v>
      </c>
    </row>
    <row r="10" spans="1:15" ht="10.5">
      <c r="A10" s="99" t="s">
        <v>255</v>
      </c>
      <c r="B10" s="87" t="str">
        <f>VLOOKUP(A10,Классификаторы!$A:$B,2,FALSE)</f>
        <v>Продукт 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194">
        <f t="shared" si="0"/>
        <v>0</v>
      </c>
    </row>
    <row r="11" spans="1:15" ht="10.5">
      <c r="A11" s="99" t="s">
        <v>256</v>
      </c>
      <c r="B11" s="87" t="str">
        <f>VLOOKUP(A11,Классификаторы!$A:$B,2,FALSE)</f>
        <v>Продукт 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94">
        <f t="shared" si="0"/>
        <v>0</v>
      </c>
    </row>
    <row r="12" spans="1:15" ht="10.5">
      <c r="A12" s="99" t="s">
        <v>257</v>
      </c>
      <c r="B12" s="87" t="str">
        <f>VLOOKUP(A12,Классификаторы!$A:$B,2,FALSE)</f>
        <v>Продукт 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94">
        <f t="shared" si="0"/>
        <v>0</v>
      </c>
    </row>
    <row r="13" spans="1:15" ht="10.5">
      <c r="A13" s="99" t="s">
        <v>258</v>
      </c>
      <c r="B13" s="87" t="str">
        <f>VLOOKUP(A13,Классификаторы!$A:$B,2,FALSE)</f>
        <v>Продукт 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94">
        <f t="shared" si="0"/>
        <v>0</v>
      </c>
    </row>
    <row r="14" spans="1:15" ht="10.5">
      <c r="A14" s="99" t="s">
        <v>259</v>
      </c>
      <c r="B14" s="87" t="str">
        <f>VLOOKUP(A14,Классификаторы!$A:$B,2,FALSE)</f>
        <v>Продукт 10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94">
        <f t="shared" si="0"/>
        <v>0</v>
      </c>
    </row>
    <row r="15" spans="1:15" ht="10.5">
      <c r="A15" s="99" t="s">
        <v>264</v>
      </c>
      <c r="B15" s="87" t="str">
        <f>VLOOKUP(A15,Классификаторы!$A:$B,2,FALSE)</f>
        <v>Продукт 11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94">
        <f t="shared" si="0"/>
        <v>0</v>
      </c>
    </row>
    <row r="16" spans="1:15" ht="10.5">
      <c r="A16" s="99" t="s">
        <v>265</v>
      </c>
      <c r="B16" s="87" t="str">
        <f>VLOOKUP(A16,Классификаторы!$A:$B,2,FALSE)</f>
        <v>Продукт 12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94">
        <f t="shared" si="0"/>
        <v>0</v>
      </c>
    </row>
    <row r="17" spans="1:15" ht="10.5">
      <c r="A17" s="99" t="s">
        <v>267</v>
      </c>
      <c r="B17" s="87" t="str">
        <f>VLOOKUP(A17,Классификаторы!$A:$B,2,FALSE)</f>
        <v>Продукт 13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194">
        <f t="shared" si="0"/>
        <v>0</v>
      </c>
    </row>
    <row r="18" spans="1:15" ht="10.5">
      <c r="A18" s="99" t="s">
        <v>268</v>
      </c>
      <c r="B18" s="87" t="str">
        <f>VLOOKUP(A18,Классификаторы!$A:$B,2,FALSE)</f>
        <v>Продукт 14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94">
        <f t="shared" si="0"/>
        <v>0</v>
      </c>
    </row>
    <row r="19" spans="1:15" ht="10.5">
      <c r="A19" s="99" t="s">
        <v>269</v>
      </c>
      <c r="B19" s="87" t="str">
        <f>VLOOKUP(A19,Классификаторы!$A:$B,2,FALSE)</f>
        <v>Продукт 15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94">
        <f t="shared" si="0"/>
        <v>0</v>
      </c>
    </row>
    <row r="20" spans="1:15" ht="10.5">
      <c r="A20" s="328" t="s">
        <v>64</v>
      </c>
      <c r="B20" s="329"/>
      <c r="C20" s="330" t="s">
        <v>342</v>
      </c>
      <c r="D20" s="330" t="s">
        <v>342</v>
      </c>
      <c r="E20" s="330" t="s">
        <v>342</v>
      </c>
      <c r="F20" s="330" t="s">
        <v>342</v>
      </c>
      <c r="G20" s="330" t="s">
        <v>342</v>
      </c>
      <c r="H20" s="330" t="s">
        <v>342</v>
      </c>
      <c r="I20" s="330" t="s">
        <v>342</v>
      </c>
      <c r="J20" s="330" t="s">
        <v>342</v>
      </c>
      <c r="K20" s="330" t="s">
        <v>342</v>
      </c>
      <c r="L20" s="330" t="s">
        <v>342</v>
      </c>
      <c r="M20" s="330" t="s">
        <v>342</v>
      </c>
      <c r="N20" s="331" t="s">
        <v>342</v>
      </c>
      <c r="O20" s="332" t="s">
        <v>342</v>
      </c>
    </row>
    <row r="21" spans="2:15" ht="10.5">
      <c r="B21" s="90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20"/>
      <c r="O21" s="133"/>
    </row>
    <row r="22" spans="1:15" ht="10.5">
      <c r="A22" s="317" t="s">
        <v>163</v>
      </c>
      <c r="B22" s="17" t="s">
        <v>344</v>
      </c>
      <c r="C22" s="88">
        <f>SUM(C5:C14)</f>
        <v>0</v>
      </c>
      <c r="D22" s="88">
        <f aca="true" t="shared" si="1" ref="D22:M22">SUM(D5:D14)</f>
        <v>0</v>
      </c>
      <c r="E22" s="88">
        <f t="shared" si="1"/>
        <v>0</v>
      </c>
      <c r="F22" s="88">
        <f t="shared" si="1"/>
        <v>0</v>
      </c>
      <c r="G22" s="88">
        <f t="shared" si="1"/>
        <v>0</v>
      </c>
      <c r="H22" s="88">
        <f t="shared" si="1"/>
        <v>0</v>
      </c>
      <c r="I22" s="88">
        <f t="shared" si="1"/>
        <v>0</v>
      </c>
      <c r="J22" s="88">
        <f t="shared" si="1"/>
        <v>0</v>
      </c>
      <c r="K22" s="88">
        <f t="shared" si="1"/>
        <v>0</v>
      </c>
      <c r="L22" s="88">
        <f t="shared" si="1"/>
        <v>0</v>
      </c>
      <c r="M22" s="88">
        <f t="shared" si="1"/>
        <v>0</v>
      </c>
      <c r="N22" s="88">
        <f>SUM(N5:N14)</f>
        <v>0</v>
      </c>
      <c r="O22" s="144">
        <f>SUM(O5:O14)</f>
        <v>0</v>
      </c>
    </row>
    <row r="23" spans="1:15" s="34" customFormat="1" ht="10.5">
      <c r="A23" s="388"/>
      <c r="B23" s="337" t="s">
        <v>345</v>
      </c>
      <c r="C23" s="308">
        <f>SUM(C15:C20)</f>
        <v>0</v>
      </c>
      <c r="D23" s="308">
        <f aca="true" t="shared" si="2" ref="D23:M23">SUM(D15:D20)</f>
        <v>0</v>
      </c>
      <c r="E23" s="308">
        <f t="shared" si="2"/>
        <v>0</v>
      </c>
      <c r="F23" s="308">
        <f t="shared" si="2"/>
        <v>0</v>
      </c>
      <c r="G23" s="308">
        <f t="shared" si="2"/>
        <v>0</v>
      </c>
      <c r="H23" s="308">
        <f t="shared" si="2"/>
        <v>0</v>
      </c>
      <c r="I23" s="308">
        <f t="shared" si="2"/>
        <v>0</v>
      </c>
      <c r="J23" s="308">
        <f t="shared" si="2"/>
        <v>0</v>
      </c>
      <c r="K23" s="308">
        <f t="shared" si="2"/>
        <v>0</v>
      </c>
      <c r="L23" s="308">
        <f t="shared" si="2"/>
        <v>0</v>
      </c>
      <c r="M23" s="308">
        <f t="shared" si="2"/>
        <v>0</v>
      </c>
      <c r="N23" s="308">
        <f>SUM(N15:N20)</f>
        <v>0</v>
      </c>
      <c r="O23" s="140">
        <f>SUM(O15:O20)</f>
        <v>0</v>
      </c>
    </row>
    <row r="24" ht="10.5">
      <c r="A24" s="34"/>
    </row>
    <row r="25" spans="1:15" ht="13.5" thickBot="1">
      <c r="A25" s="77" t="s">
        <v>74</v>
      </c>
      <c r="B25" s="89"/>
      <c r="C25" s="2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00"/>
    </row>
    <row r="26" spans="1:15" ht="21">
      <c r="A26" s="55" t="s">
        <v>68</v>
      </c>
      <c r="B26" s="55" t="s">
        <v>69</v>
      </c>
      <c r="C26" s="56" t="s">
        <v>318</v>
      </c>
      <c r="D26" s="56">
        <v>39448</v>
      </c>
      <c r="E26" s="56">
        <v>39479</v>
      </c>
      <c r="F26" s="56">
        <v>39508</v>
      </c>
      <c r="G26" s="56">
        <v>39539</v>
      </c>
      <c r="H26" s="56">
        <v>39569</v>
      </c>
      <c r="I26" s="56">
        <v>39600</v>
      </c>
      <c r="J26" s="56">
        <v>39630</v>
      </c>
      <c r="K26" s="56">
        <v>39661</v>
      </c>
      <c r="L26" s="56">
        <v>39692</v>
      </c>
      <c r="M26" s="56">
        <v>39722</v>
      </c>
      <c r="N26" s="56">
        <v>39753</v>
      </c>
      <c r="O26" s="340">
        <v>39783</v>
      </c>
    </row>
    <row r="27" spans="1:15" ht="10.5">
      <c r="A27" s="125" t="s">
        <v>250</v>
      </c>
      <c r="B27" s="341" t="str">
        <f>VLOOKUP(A27,Классификаторы!$A:$B,2,FALSE)</f>
        <v>Продукт 1</v>
      </c>
      <c r="C27" s="342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4"/>
    </row>
    <row r="28" spans="1:15" ht="10.5">
      <c r="A28" s="129" t="s">
        <v>251</v>
      </c>
      <c r="B28" s="87" t="str">
        <f>VLOOKUP(A28,Классификаторы!$A:$B,2,FALSE)</f>
        <v>Продукт 2</v>
      </c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345"/>
    </row>
    <row r="29" spans="1:15" ht="10.5">
      <c r="A29" s="129" t="s">
        <v>252</v>
      </c>
      <c r="B29" s="87" t="str">
        <f>VLOOKUP(A29,Классификаторы!$A:$B,2,FALSE)</f>
        <v>Продукт 3</v>
      </c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345"/>
    </row>
    <row r="30" spans="1:15" ht="10.5">
      <c r="A30" s="129" t="s">
        <v>253</v>
      </c>
      <c r="B30" s="87" t="str">
        <f>VLOOKUP(A30,Классификаторы!$A:$B,2,FALSE)</f>
        <v>Продукт 4</v>
      </c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345"/>
    </row>
    <row r="31" spans="1:15" ht="10.5">
      <c r="A31" s="129" t="s">
        <v>254</v>
      </c>
      <c r="B31" s="87" t="str">
        <f>VLOOKUP(A31,Классификаторы!$A:$B,2,FALSE)</f>
        <v>Продукт 5</v>
      </c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345"/>
    </row>
    <row r="32" spans="1:15" ht="10.5">
      <c r="A32" s="81" t="s">
        <v>255</v>
      </c>
      <c r="B32" s="87" t="str">
        <f>VLOOKUP(A32,Классификаторы!$A:$B,2,FALSE)</f>
        <v>Продукт 6</v>
      </c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345"/>
    </row>
    <row r="33" spans="1:15" ht="10.5">
      <c r="A33" s="81" t="s">
        <v>256</v>
      </c>
      <c r="B33" s="87" t="str">
        <f>VLOOKUP(A33,Классификаторы!$A:$B,2,FALSE)</f>
        <v>Продукт 7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345"/>
    </row>
    <row r="34" spans="1:15" ht="10.5">
      <c r="A34" s="81" t="s">
        <v>257</v>
      </c>
      <c r="B34" s="87" t="str">
        <f>VLOOKUP(A34,Классификаторы!$A:$B,2,FALSE)</f>
        <v>Продукт 8</v>
      </c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345"/>
    </row>
    <row r="35" spans="1:15" ht="10.5">
      <c r="A35" s="81" t="s">
        <v>258</v>
      </c>
      <c r="B35" s="87" t="str">
        <f>VLOOKUP(A35,Классификаторы!$A:$B,2,FALSE)</f>
        <v>Продукт 9</v>
      </c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345"/>
    </row>
    <row r="36" spans="1:15" ht="10.5">
      <c r="A36" s="81" t="s">
        <v>259</v>
      </c>
      <c r="B36" s="87" t="str">
        <f>VLOOKUP(A36,Классификаторы!$A:$B,2,FALSE)</f>
        <v>Продукт 10</v>
      </c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345"/>
    </row>
    <row r="37" spans="1:15" ht="10.5">
      <c r="A37" s="81" t="s">
        <v>264</v>
      </c>
      <c r="B37" s="87" t="str">
        <f>VLOOKUP(A37,Классификаторы!$A:$B,2,FALSE)</f>
        <v>Продукт 11</v>
      </c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345"/>
    </row>
    <row r="38" spans="1:15" ht="10.5">
      <c r="A38" s="81" t="s">
        <v>265</v>
      </c>
      <c r="B38" s="87" t="str">
        <f>VLOOKUP(A38,Классификаторы!$A:$B,2,FALSE)</f>
        <v>Продукт 12</v>
      </c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345"/>
    </row>
    <row r="39" spans="1:15" ht="10.5">
      <c r="A39" s="81" t="s">
        <v>267</v>
      </c>
      <c r="B39" s="87" t="str">
        <f>VLOOKUP(A39,Классификаторы!$A:$B,2,FALSE)</f>
        <v>Продукт 13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345"/>
    </row>
    <row r="40" spans="1:15" ht="10.5">
      <c r="A40" s="81" t="s">
        <v>268</v>
      </c>
      <c r="B40" s="87" t="str">
        <f>VLOOKUP(A40,Классификаторы!$A:$B,2,FALSE)</f>
        <v>Продукт 14</v>
      </c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345"/>
    </row>
    <row r="41" spans="1:15" ht="10.5">
      <c r="A41" s="353" t="s">
        <v>269</v>
      </c>
      <c r="B41" s="87" t="str">
        <f>VLOOKUP(A41,Классификаторы!$A:$B,2,FALSE)</f>
        <v>Продукт 15</v>
      </c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50"/>
    </row>
    <row r="42" spans="1:15" ht="10.5">
      <c r="A42" s="354" t="s">
        <v>64</v>
      </c>
      <c r="B42" s="355"/>
      <c r="C42" s="351" t="s">
        <v>342</v>
      </c>
      <c r="D42" s="351" t="s">
        <v>342</v>
      </c>
      <c r="E42" s="351" t="s">
        <v>342</v>
      </c>
      <c r="F42" s="351" t="s">
        <v>342</v>
      </c>
      <c r="G42" s="351" t="s">
        <v>342</v>
      </c>
      <c r="H42" s="351" t="s">
        <v>342</v>
      </c>
      <c r="I42" s="351" t="s">
        <v>342</v>
      </c>
      <c r="J42" s="351" t="s">
        <v>342</v>
      </c>
      <c r="K42" s="351" t="s">
        <v>342</v>
      </c>
      <c r="L42" s="351" t="s">
        <v>342</v>
      </c>
      <c r="M42" s="351" t="s">
        <v>342</v>
      </c>
      <c r="N42" s="351" t="s">
        <v>342</v>
      </c>
      <c r="O42" s="352" t="s">
        <v>342</v>
      </c>
    </row>
    <row r="43" ht="10.5">
      <c r="A43" s="34"/>
    </row>
    <row r="44" spans="1:15" s="89" customFormat="1" ht="18" customHeight="1" thickBot="1">
      <c r="A44" s="77" t="s">
        <v>319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78"/>
    </row>
    <row r="45" spans="1:15" ht="21">
      <c r="A45" s="55" t="s">
        <v>68</v>
      </c>
      <c r="B45" s="55" t="s">
        <v>69</v>
      </c>
      <c r="C45" s="56">
        <v>39448</v>
      </c>
      <c r="D45" s="56">
        <v>39479</v>
      </c>
      <c r="E45" s="56">
        <v>39508</v>
      </c>
      <c r="F45" s="56">
        <v>39539</v>
      </c>
      <c r="G45" s="56">
        <v>39569</v>
      </c>
      <c r="H45" s="56">
        <v>39600</v>
      </c>
      <c r="I45" s="56">
        <v>39630</v>
      </c>
      <c r="J45" s="56">
        <v>39661</v>
      </c>
      <c r="K45" s="56">
        <v>39692</v>
      </c>
      <c r="L45" s="56">
        <v>39722</v>
      </c>
      <c r="M45" s="56">
        <v>39753</v>
      </c>
      <c r="N45" s="56">
        <v>39783</v>
      </c>
      <c r="O45" s="340" t="s">
        <v>70</v>
      </c>
    </row>
    <row r="46" spans="1:15" ht="10.5">
      <c r="A46" s="97" t="s">
        <v>250</v>
      </c>
      <c r="B46" s="87" t="str">
        <f>VLOOKUP(A46,Классификаторы!$A:$B,2,FALSE)</f>
        <v>Продукт 1</v>
      </c>
      <c r="C46" s="167">
        <f aca="true" t="shared" si="3" ref="C46:C58">$C27*D27</f>
        <v>0</v>
      </c>
      <c r="D46" s="167">
        <f aca="true" t="shared" si="4" ref="D46:N46">$C27*E27</f>
        <v>0</v>
      </c>
      <c r="E46" s="167">
        <f t="shared" si="4"/>
        <v>0</v>
      </c>
      <c r="F46" s="167">
        <f t="shared" si="4"/>
        <v>0</v>
      </c>
      <c r="G46" s="167">
        <f t="shared" si="4"/>
        <v>0</v>
      </c>
      <c r="H46" s="167">
        <f t="shared" si="4"/>
        <v>0</v>
      </c>
      <c r="I46" s="167">
        <f t="shared" si="4"/>
        <v>0</v>
      </c>
      <c r="J46" s="167">
        <f t="shared" si="4"/>
        <v>0</v>
      </c>
      <c r="K46" s="167">
        <f t="shared" si="4"/>
        <v>0</v>
      </c>
      <c r="L46" s="167">
        <f t="shared" si="4"/>
        <v>0</v>
      </c>
      <c r="M46" s="167">
        <f t="shared" si="4"/>
        <v>0</v>
      </c>
      <c r="N46" s="359">
        <f t="shared" si="4"/>
        <v>0</v>
      </c>
      <c r="O46" s="360" t="e">
        <f aca="true" t="shared" si="5" ref="O46:O60">SUMIF(A$65:A$81,A46,O$65:O$81)/SUMIF(A$5:A$24,A46,O$5:O$24)</f>
        <v>#DIV/0!</v>
      </c>
    </row>
    <row r="47" spans="1:15" ht="10.5">
      <c r="A47" s="97" t="s">
        <v>251</v>
      </c>
      <c r="B47" s="87" t="str">
        <f>VLOOKUP(A47,Классификаторы!$A:$B,2,FALSE)</f>
        <v>Продукт 2</v>
      </c>
      <c r="C47" s="109">
        <f>$C28*D28</f>
        <v>0</v>
      </c>
      <c r="D47" s="109">
        <f aca="true" t="shared" si="6" ref="D47:N47">$C28*E28</f>
        <v>0</v>
      </c>
      <c r="E47" s="109">
        <f t="shared" si="6"/>
        <v>0</v>
      </c>
      <c r="F47" s="109">
        <f t="shared" si="6"/>
        <v>0</v>
      </c>
      <c r="G47" s="109">
        <f t="shared" si="6"/>
        <v>0</v>
      </c>
      <c r="H47" s="109">
        <f t="shared" si="6"/>
        <v>0</v>
      </c>
      <c r="I47" s="109">
        <f t="shared" si="6"/>
        <v>0</v>
      </c>
      <c r="J47" s="109">
        <f t="shared" si="6"/>
        <v>0</v>
      </c>
      <c r="K47" s="109">
        <f t="shared" si="6"/>
        <v>0</v>
      </c>
      <c r="L47" s="109">
        <f t="shared" si="6"/>
        <v>0</v>
      </c>
      <c r="M47" s="109">
        <f t="shared" si="6"/>
        <v>0</v>
      </c>
      <c r="N47" s="356">
        <f t="shared" si="6"/>
        <v>0</v>
      </c>
      <c r="O47" s="358" t="e">
        <f t="shared" si="5"/>
        <v>#DIV/0!</v>
      </c>
    </row>
    <row r="48" spans="1:15" ht="10.5">
      <c r="A48" s="97" t="s">
        <v>252</v>
      </c>
      <c r="B48" s="87" t="str">
        <f>VLOOKUP(A48,Классификаторы!$A:$B,2,FALSE)</f>
        <v>Продукт 3</v>
      </c>
      <c r="C48" s="109">
        <f t="shared" si="3"/>
        <v>0</v>
      </c>
      <c r="D48" s="109">
        <f aca="true" t="shared" si="7" ref="D48:N48">$C29*E29</f>
        <v>0</v>
      </c>
      <c r="E48" s="109">
        <f t="shared" si="7"/>
        <v>0</v>
      </c>
      <c r="F48" s="109">
        <f t="shared" si="7"/>
        <v>0</v>
      </c>
      <c r="G48" s="109">
        <f t="shared" si="7"/>
        <v>0</v>
      </c>
      <c r="H48" s="109">
        <f t="shared" si="7"/>
        <v>0</v>
      </c>
      <c r="I48" s="109">
        <f t="shared" si="7"/>
        <v>0</v>
      </c>
      <c r="J48" s="109">
        <f t="shared" si="7"/>
        <v>0</v>
      </c>
      <c r="K48" s="109">
        <f t="shared" si="7"/>
        <v>0</v>
      </c>
      <c r="L48" s="109">
        <f t="shared" si="7"/>
        <v>0</v>
      </c>
      <c r="M48" s="109">
        <f t="shared" si="7"/>
        <v>0</v>
      </c>
      <c r="N48" s="356">
        <f t="shared" si="7"/>
        <v>0</v>
      </c>
      <c r="O48" s="358" t="e">
        <f t="shared" si="5"/>
        <v>#DIV/0!</v>
      </c>
    </row>
    <row r="49" spans="1:15" ht="10.5">
      <c r="A49" s="97" t="s">
        <v>253</v>
      </c>
      <c r="B49" s="87" t="str">
        <f>VLOOKUP(A49,Классификаторы!$A:$B,2,FALSE)</f>
        <v>Продукт 4</v>
      </c>
      <c r="C49" s="109">
        <f t="shared" si="3"/>
        <v>0</v>
      </c>
      <c r="D49" s="109">
        <f aca="true" t="shared" si="8" ref="D49:N49">$C30*E30</f>
        <v>0</v>
      </c>
      <c r="E49" s="109">
        <f t="shared" si="8"/>
        <v>0</v>
      </c>
      <c r="F49" s="109">
        <f t="shared" si="8"/>
        <v>0</v>
      </c>
      <c r="G49" s="109">
        <f t="shared" si="8"/>
        <v>0</v>
      </c>
      <c r="H49" s="109">
        <f t="shared" si="8"/>
        <v>0</v>
      </c>
      <c r="I49" s="109">
        <f t="shared" si="8"/>
        <v>0</v>
      </c>
      <c r="J49" s="109">
        <f t="shared" si="8"/>
        <v>0</v>
      </c>
      <c r="K49" s="109">
        <f t="shared" si="8"/>
        <v>0</v>
      </c>
      <c r="L49" s="109">
        <f t="shared" si="8"/>
        <v>0</v>
      </c>
      <c r="M49" s="109">
        <f t="shared" si="8"/>
        <v>0</v>
      </c>
      <c r="N49" s="356">
        <f t="shared" si="8"/>
        <v>0</v>
      </c>
      <c r="O49" s="358" t="e">
        <f t="shared" si="5"/>
        <v>#DIV/0!</v>
      </c>
    </row>
    <row r="50" spans="1:15" ht="10.5">
      <c r="A50" s="97" t="s">
        <v>254</v>
      </c>
      <c r="B50" s="87" t="str">
        <f>VLOOKUP(A50,Классификаторы!$A:$B,2,FALSE)</f>
        <v>Продукт 5</v>
      </c>
      <c r="C50" s="109">
        <f t="shared" si="3"/>
        <v>0</v>
      </c>
      <c r="D50" s="109">
        <f aca="true" t="shared" si="9" ref="D50:N50">$C31*E31</f>
        <v>0</v>
      </c>
      <c r="E50" s="109">
        <f t="shared" si="9"/>
        <v>0</v>
      </c>
      <c r="F50" s="109">
        <f t="shared" si="9"/>
        <v>0</v>
      </c>
      <c r="G50" s="109">
        <f t="shared" si="9"/>
        <v>0</v>
      </c>
      <c r="H50" s="109">
        <f t="shared" si="9"/>
        <v>0</v>
      </c>
      <c r="I50" s="109">
        <f t="shared" si="9"/>
        <v>0</v>
      </c>
      <c r="J50" s="109">
        <f t="shared" si="9"/>
        <v>0</v>
      </c>
      <c r="K50" s="109">
        <f t="shared" si="9"/>
        <v>0</v>
      </c>
      <c r="L50" s="109">
        <f t="shared" si="9"/>
        <v>0</v>
      </c>
      <c r="M50" s="109">
        <f t="shared" si="9"/>
        <v>0</v>
      </c>
      <c r="N50" s="356">
        <f t="shared" si="9"/>
        <v>0</v>
      </c>
      <c r="O50" s="358" t="e">
        <f t="shared" si="5"/>
        <v>#DIV/0!</v>
      </c>
    </row>
    <row r="51" spans="1:15" ht="10.5">
      <c r="A51" s="99" t="s">
        <v>255</v>
      </c>
      <c r="B51" s="87" t="str">
        <f>VLOOKUP(A51,Классификаторы!$A:$B,2,FALSE)</f>
        <v>Продукт 6</v>
      </c>
      <c r="C51" s="109">
        <f t="shared" si="3"/>
        <v>0</v>
      </c>
      <c r="D51" s="109">
        <f aca="true" t="shared" si="10" ref="D51:N51">$C32*E32</f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</v>
      </c>
      <c r="M51" s="109">
        <f t="shared" si="10"/>
        <v>0</v>
      </c>
      <c r="N51" s="356">
        <f t="shared" si="10"/>
        <v>0</v>
      </c>
      <c r="O51" s="358" t="e">
        <f t="shared" si="5"/>
        <v>#DIV/0!</v>
      </c>
    </row>
    <row r="52" spans="1:15" ht="10.5">
      <c r="A52" s="99" t="s">
        <v>256</v>
      </c>
      <c r="B52" s="87" t="str">
        <f>VLOOKUP(A52,Классификаторы!$A:$B,2,FALSE)</f>
        <v>Продукт 7</v>
      </c>
      <c r="C52" s="109">
        <f t="shared" si="3"/>
        <v>0</v>
      </c>
      <c r="D52" s="109">
        <f aca="true" t="shared" si="11" ref="D52:N52">$C33*E33</f>
        <v>0</v>
      </c>
      <c r="E52" s="109">
        <f t="shared" si="11"/>
        <v>0</v>
      </c>
      <c r="F52" s="109">
        <f t="shared" si="11"/>
        <v>0</v>
      </c>
      <c r="G52" s="109">
        <f t="shared" si="11"/>
        <v>0</v>
      </c>
      <c r="H52" s="109">
        <f t="shared" si="11"/>
        <v>0</v>
      </c>
      <c r="I52" s="109">
        <f t="shared" si="11"/>
        <v>0</v>
      </c>
      <c r="J52" s="109">
        <f t="shared" si="11"/>
        <v>0</v>
      </c>
      <c r="K52" s="109">
        <f t="shared" si="11"/>
        <v>0</v>
      </c>
      <c r="L52" s="109">
        <f t="shared" si="11"/>
        <v>0</v>
      </c>
      <c r="M52" s="109">
        <f t="shared" si="11"/>
        <v>0</v>
      </c>
      <c r="N52" s="356">
        <f t="shared" si="11"/>
        <v>0</v>
      </c>
      <c r="O52" s="358" t="e">
        <f t="shared" si="5"/>
        <v>#DIV/0!</v>
      </c>
    </row>
    <row r="53" spans="1:15" ht="10.5">
      <c r="A53" s="99" t="s">
        <v>257</v>
      </c>
      <c r="B53" s="87" t="str">
        <f>VLOOKUP(A53,Классификаторы!$A:$B,2,FALSE)</f>
        <v>Продукт 8</v>
      </c>
      <c r="C53" s="109">
        <f t="shared" si="3"/>
        <v>0</v>
      </c>
      <c r="D53" s="109">
        <f aca="true" t="shared" si="12" ref="D53:N53">$C34*E34</f>
        <v>0</v>
      </c>
      <c r="E53" s="109">
        <f t="shared" si="12"/>
        <v>0</v>
      </c>
      <c r="F53" s="109">
        <f t="shared" si="12"/>
        <v>0</v>
      </c>
      <c r="G53" s="109">
        <f t="shared" si="12"/>
        <v>0</v>
      </c>
      <c r="H53" s="109">
        <f t="shared" si="12"/>
        <v>0</v>
      </c>
      <c r="I53" s="109">
        <f t="shared" si="12"/>
        <v>0</v>
      </c>
      <c r="J53" s="109">
        <f t="shared" si="12"/>
        <v>0</v>
      </c>
      <c r="K53" s="109">
        <f t="shared" si="12"/>
        <v>0</v>
      </c>
      <c r="L53" s="109">
        <f t="shared" si="12"/>
        <v>0</v>
      </c>
      <c r="M53" s="109">
        <f t="shared" si="12"/>
        <v>0</v>
      </c>
      <c r="N53" s="356">
        <f t="shared" si="12"/>
        <v>0</v>
      </c>
      <c r="O53" s="358" t="e">
        <f t="shared" si="5"/>
        <v>#DIV/0!</v>
      </c>
    </row>
    <row r="54" spans="1:15" ht="10.5">
      <c r="A54" s="99" t="s">
        <v>258</v>
      </c>
      <c r="B54" s="87" t="str">
        <f>VLOOKUP(A54,Классификаторы!$A:$B,2,FALSE)</f>
        <v>Продукт 9</v>
      </c>
      <c r="C54" s="109">
        <f t="shared" si="3"/>
        <v>0</v>
      </c>
      <c r="D54" s="109">
        <f aca="true" t="shared" si="13" ref="D54:N54">$C35*E35</f>
        <v>0</v>
      </c>
      <c r="E54" s="109">
        <f t="shared" si="13"/>
        <v>0</v>
      </c>
      <c r="F54" s="109">
        <f t="shared" si="13"/>
        <v>0</v>
      </c>
      <c r="G54" s="109">
        <f t="shared" si="13"/>
        <v>0</v>
      </c>
      <c r="H54" s="109">
        <f t="shared" si="13"/>
        <v>0</v>
      </c>
      <c r="I54" s="109">
        <f t="shared" si="13"/>
        <v>0</v>
      </c>
      <c r="J54" s="109">
        <f t="shared" si="13"/>
        <v>0</v>
      </c>
      <c r="K54" s="109">
        <f t="shared" si="13"/>
        <v>0</v>
      </c>
      <c r="L54" s="109">
        <f t="shared" si="13"/>
        <v>0</v>
      </c>
      <c r="M54" s="109">
        <f t="shared" si="13"/>
        <v>0</v>
      </c>
      <c r="N54" s="356">
        <f t="shared" si="13"/>
        <v>0</v>
      </c>
      <c r="O54" s="358" t="e">
        <f t="shared" si="5"/>
        <v>#DIV/0!</v>
      </c>
    </row>
    <row r="55" spans="1:15" ht="10.5">
      <c r="A55" s="99" t="s">
        <v>259</v>
      </c>
      <c r="B55" s="87" t="str">
        <f>VLOOKUP(A55,Классификаторы!$A:$B,2,FALSE)</f>
        <v>Продукт 10</v>
      </c>
      <c r="C55" s="109">
        <f t="shared" si="3"/>
        <v>0</v>
      </c>
      <c r="D55" s="109">
        <f aca="true" t="shared" si="14" ref="D55:N55">$C36*E36</f>
        <v>0</v>
      </c>
      <c r="E55" s="109">
        <f t="shared" si="14"/>
        <v>0</v>
      </c>
      <c r="F55" s="109">
        <f t="shared" si="14"/>
        <v>0</v>
      </c>
      <c r="G55" s="109">
        <f t="shared" si="14"/>
        <v>0</v>
      </c>
      <c r="H55" s="109">
        <f t="shared" si="14"/>
        <v>0</v>
      </c>
      <c r="I55" s="109">
        <f t="shared" si="14"/>
        <v>0</v>
      </c>
      <c r="J55" s="109">
        <f t="shared" si="14"/>
        <v>0</v>
      </c>
      <c r="K55" s="109">
        <f t="shared" si="14"/>
        <v>0</v>
      </c>
      <c r="L55" s="109">
        <f t="shared" si="14"/>
        <v>0</v>
      </c>
      <c r="M55" s="109">
        <f t="shared" si="14"/>
        <v>0</v>
      </c>
      <c r="N55" s="356">
        <f t="shared" si="14"/>
        <v>0</v>
      </c>
      <c r="O55" s="358" t="e">
        <f t="shared" si="5"/>
        <v>#DIV/0!</v>
      </c>
    </row>
    <row r="56" spans="1:15" ht="10.5">
      <c r="A56" s="99" t="s">
        <v>264</v>
      </c>
      <c r="B56" s="87" t="str">
        <f>VLOOKUP(A56,Классификаторы!$A:$B,2,FALSE)</f>
        <v>Продукт 11</v>
      </c>
      <c r="C56" s="109">
        <f t="shared" si="3"/>
        <v>0</v>
      </c>
      <c r="D56" s="109">
        <f aca="true" t="shared" si="15" ref="D56:N56">$C37*E37</f>
        <v>0</v>
      </c>
      <c r="E56" s="109">
        <f t="shared" si="15"/>
        <v>0</v>
      </c>
      <c r="F56" s="109">
        <f t="shared" si="15"/>
        <v>0</v>
      </c>
      <c r="G56" s="109">
        <f t="shared" si="15"/>
        <v>0</v>
      </c>
      <c r="H56" s="109">
        <f t="shared" si="15"/>
        <v>0</v>
      </c>
      <c r="I56" s="109">
        <f t="shared" si="15"/>
        <v>0</v>
      </c>
      <c r="J56" s="109">
        <f t="shared" si="15"/>
        <v>0</v>
      </c>
      <c r="K56" s="109">
        <f t="shared" si="15"/>
        <v>0</v>
      </c>
      <c r="L56" s="109">
        <f t="shared" si="15"/>
        <v>0</v>
      </c>
      <c r="M56" s="109">
        <f t="shared" si="15"/>
        <v>0</v>
      </c>
      <c r="N56" s="356">
        <f t="shared" si="15"/>
        <v>0</v>
      </c>
      <c r="O56" s="358" t="e">
        <f t="shared" si="5"/>
        <v>#DIV/0!</v>
      </c>
    </row>
    <row r="57" spans="1:15" ht="10.5">
      <c r="A57" s="99" t="s">
        <v>265</v>
      </c>
      <c r="B57" s="87" t="str">
        <f>VLOOKUP(A57,Классификаторы!$A:$B,2,FALSE)</f>
        <v>Продукт 12</v>
      </c>
      <c r="C57" s="109">
        <f t="shared" si="3"/>
        <v>0</v>
      </c>
      <c r="D57" s="109">
        <f aca="true" t="shared" si="16" ref="D57:N57">$C38*E38</f>
        <v>0</v>
      </c>
      <c r="E57" s="109">
        <f t="shared" si="16"/>
        <v>0</v>
      </c>
      <c r="F57" s="109">
        <f t="shared" si="16"/>
        <v>0</v>
      </c>
      <c r="G57" s="109">
        <f t="shared" si="16"/>
        <v>0</v>
      </c>
      <c r="H57" s="109">
        <f t="shared" si="16"/>
        <v>0</v>
      </c>
      <c r="I57" s="109">
        <f t="shared" si="16"/>
        <v>0</v>
      </c>
      <c r="J57" s="109">
        <f t="shared" si="16"/>
        <v>0</v>
      </c>
      <c r="K57" s="109">
        <f t="shared" si="16"/>
        <v>0</v>
      </c>
      <c r="L57" s="109">
        <f t="shared" si="16"/>
        <v>0</v>
      </c>
      <c r="M57" s="109">
        <f t="shared" si="16"/>
        <v>0</v>
      </c>
      <c r="N57" s="356">
        <f t="shared" si="16"/>
        <v>0</v>
      </c>
      <c r="O57" s="358" t="e">
        <f t="shared" si="5"/>
        <v>#DIV/0!</v>
      </c>
    </row>
    <row r="58" spans="1:15" ht="10.5">
      <c r="A58" s="99" t="s">
        <v>267</v>
      </c>
      <c r="B58" s="87" t="str">
        <f>VLOOKUP(A58,Классификаторы!$A:$B,2,FALSE)</f>
        <v>Продукт 13</v>
      </c>
      <c r="C58" s="109">
        <f t="shared" si="3"/>
        <v>0</v>
      </c>
      <c r="D58" s="109">
        <f aca="true" t="shared" si="17" ref="D58:N58">$C39*E39</f>
        <v>0</v>
      </c>
      <c r="E58" s="109">
        <f t="shared" si="17"/>
        <v>0</v>
      </c>
      <c r="F58" s="109">
        <f t="shared" si="17"/>
        <v>0</v>
      </c>
      <c r="G58" s="109">
        <f t="shared" si="17"/>
        <v>0</v>
      </c>
      <c r="H58" s="109">
        <f t="shared" si="17"/>
        <v>0</v>
      </c>
      <c r="I58" s="109">
        <f t="shared" si="17"/>
        <v>0</v>
      </c>
      <c r="J58" s="109">
        <f t="shared" si="17"/>
        <v>0</v>
      </c>
      <c r="K58" s="109">
        <f t="shared" si="17"/>
        <v>0</v>
      </c>
      <c r="L58" s="109">
        <f t="shared" si="17"/>
        <v>0</v>
      </c>
      <c r="M58" s="109">
        <f t="shared" si="17"/>
        <v>0</v>
      </c>
      <c r="N58" s="356">
        <f t="shared" si="17"/>
        <v>0</v>
      </c>
      <c r="O58" s="358" t="e">
        <f t="shared" si="5"/>
        <v>#DIV/0!</v>
      </c>
    </row>
    <row r="59" spans="1:15" ht="10.5">
      <c r="A59" s="99" t="s">
        <v>268</v>
      </c>
      <c r="B59" s="87" t="str">
        <f>VLOOKUP(A59,Классификаторы!$A:$B,2,FALSE)</f>
        <v>Продукт 14</v>
      </c>
      <c r="C59" s="109">
        <f aca="true" t="shared" si="18" ref="C59:N59">$C40*D40</f>
        <v>0</v>
      </c>
      <c r="D59" s="109">
        <f t="shared" si="18"/>
        <v>0</v>
      </c>
      <c r="E59" s="109">
        <f t="shared" si="18"/>
        <v>0</v>
      </c>
      <c r="F59" s="109">
        <f t="shared" si="18"/>
        <v>0</v>
      </c>
      <c r="G59" s="109">
        <f t="shared" si="18"/>
        <v>0</v>
      </c>
      <c r="H59" s="109">
        <f t="shared" si="18"/>
        <v>0</v>
      </c>
      <c r="I59" s="109">
        <f t="shared" si="18"/>
        <v>0</v>
      </c>
      <c r="J59" s="109">
        <f t="shared" si="18"/>
        <v>0</v>
      </c>
      <c r="K59" s="109">
        <f t="shared" si="18"/>
        <v>0</v>
      </c>
      <c r="L59" s="109">
        <f t="shared" si="18"/>
        <v>0</v>
      </c>
      <c r="M59" s="109">
        <f t="shared" si="18"/>
        <v>0</v>
      </c>
      <c r="N59" s="356">
        <f t="shared" si="18"/>
        <v>0</v>
      </c>
      <c r="O59" s="358" t="e">
        <f t="shared" si="5"/>
        <v>#DIV/0!</v>
      </c>
    </row>
    <row r="60" spans="1:15" ht="10.5">
      <c r="A60" s="99" t="s">
        <v>269</v>
      </c>
      <c r="B60" s="87" t="str">
        <f>VLOOKUP(A60,Классификаторы!$A:$B,2,FALSE)</f>
        <v>Продукт 15</v>
      </c>
      <c r="C60" s="109">
        <f aca="true" t="shared" si="19" ref="C60:N60">$C41*D41</f>
        <v>0</v>
      </c>
      <c r="D60" s="109">
        <f t="shared" si="19"/>
        <v>0</v>
      </c>
      <c r="E60" s="109">
        <f t="shared" si="19"/>
        <v>0</v>
      </c>
      <c r="F60" s="109">
        <f t="shared" si="19"/>
        <v>0</v>
      </c>
      <c r="G60" s="109">
        <f t="shared" si="19"/>
        <v>0</v>
      </c>
      <c r="H60" s="109">
        <f t="shared" si="19"/>
        <v>0</v>
      </c>
      <c r="I60" s="109">
        <f t="shared" si="19"/>
        <v>0</v>
      </c>
      <c r="J60" s="109">
        <f t="shared" si="19"/>
        <v>0</v>
      </c>
      <c r="K60" s="109">
        <f t="shared" si="19"/>
        <v>0</v>
      </c>
      <c r="L60" s="109">
        <f t="shared" si="19"/>
        <v>0</v>
      </c>
      <c r="M60" s="109">
        <f t="shared" si="19"/>
        <v>0</v>
      </c>
      <c r="N60" s="356">
        <f t="shared" si="19"/>
        <v>0</v>
      </c>
      <c r="O60" s="358" t="e">
        <f t="shared" si="5"/>
        <v>#DIV/0!</v>
      </c>
    </row>
    <row r="61" spans="1:15" ht="10.5">
      <c r="A61" s="354" t="s">
        <v>64</v>
      </c>
      <c r="B61" s="355"/>
      <c r="C61" s="351" t="s">
        <v>342</v>
      </c>
      <c r="D61" s="351" t="s">
        <v>342</v>
      </c>
      <c r="E61" s="351" t="s">
        <v>342</v>
      </c>
      <c r="F61" s="351" t="s">
        <v>342</v>
      </c>
      <c r="G61" s="351" t="s">
        <v>342</v>
      </c>
      <c r="H61" s="351" t="s">
        <v>342</v>
      </c>
      <c r="I61" s="351" t="s">
        <v>342</v>
      </c>
      <c r="J61" s="351" t="s">
        <v>342</v>
      </c>
      <c r="K61" s="351" t="s">
        <v>342</v>
      </c>
      <c r="L61" s="351" t="s">
        <v>342</v>
      </c>
      <c r="M61" s="351" t="s">
        <v>342</v>
      </c>
      <c r="N61" s="351" t="s">
        <v>342</v>
      </c>
      <c r="O61" s="357" t="s">
        <v>342</v>
      </c>
    </row>
    <row r="62" ht="10.5">
      <c r="A62" s="34"/>
    </row>
    <row r="63" spans="1:15" s="89" customFormat="1" ht="18" customHeight="1" thickBot="1">
      <c r="A63" s="77" t="s">
        <v>320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78"/>
    </row>
    <row r="64" spans="1:15" ht="21">
      <c r="A64" s="55" t="s">
        <v>68</v>
      </c>
      <c r="B64" s="55" t="s">
        <v>69</v>
      </c>
      <c r="C64" s="56">
        <v>39448</v>
      </c>
      <c r="D64" s="56">
        <v>39479</v>
      </c>
      <c r="E64" s="56">
        <v>39508</v>
      </c>
      <c r="F64" s="56">
        <v>39539</v>
      </c>
      <c r="G64" s="56">
        <v>39569</v>
      </c>
      <c r="H64" s="56">
        <v>39600</v>
      </c>
      <c r="I64" s="56">
        <v>39630</v>
      </c>
      <c r="J64" s="56">
        <v>39661</v>
      </c>
      <c r="K64" s="56">
        <v>39692</v>
      </c>
      <c r="L64" s="56">
        <v>39722</v>
      </c>
      <c r="M64" s="56">
        <v>39753</v>
      </c>
      <c r="N64" s="56">
        <v>39783</v>
      </c>
      <c r="O64" s="340" t="s">
        <v>67</v>
      </c>
    </row>
    <row r="65" spans="1:15" ht="10.5">
      <c r="A65" s="125" t="s">
        <v>250</v>
      </c>
      <c r="B65" s="362" t="str">
        <f>VLOOKUP(A65,Классификаторы!$A:$B,2,FALSE)</f>
        <v>Продукт 1</v>
      </c>
      <c r="C65" s="157">
        <f aca="true" t="shared" si="20" ref="C65:N65">C46*C5</f>
        <v>0</v>
      </c>
      <c r="D65" s="157">
        <f t="shared" si="20"/>
        <v>0</v>
      </c>
      <c r="E65" s="157">
        <f t="shared" si="20"/>
        <v>0</v>
      </c>
      <c r="F65" s="157">
        <f t="shared" si="20"/>
        <v>0</v>
      </c>
      <c r="G65" s="157">
        <f t="shared" si="20"/>
        <v>0</v>
      </c>
      <c r="H65" s="157">
        <f t="shared" si="20"/>
        <v>0</v>
      </c>
      <c r="I65" s="157">
        <f t="shared" si="20"/>
        <v>0</v>
      </c>
      <c r="J65" s="157">
        <f t="shared" si="20"/>
        <v>0</v>
      </c>
      <c r="K65" s="157">
        <f t="shared" si="20"/>
        <v>0</v>
      </c>
      <c r="L65" s="157">
        <f t="shared" si="20"/>
        <v>0</v>
      </c>
      <c r="M65" s="157">
        <f t="shared" si="20"/>
        <v>0</v>
      </c>
      <c r="N65" s="158">
        <f t="shared" si="20"/>
        <v>0</v>
      </c>
      <c r="O65" s="192">
        <f aca="true" t="shared" si="21" ref="O65:O79">SUM(C65:N65)</f>
        <v>0</v>
      </c>
    </row>
    <row r="66" spans="1:15" ht="10.5">
      <c r="A66" s="81" t="s">
        <v>251</v>
      </c>
      <c r="B66" s="363" t="str">
        <f>VLOOKUP(A66,Классификаторы!$A:$B,2,FALSE)</f>
        <v>Продукт 2</v>
      </c>
      <c r="C66" s="113">
        <f>C47*C6</f>
        <v>0</v>
      </c>
      <c r="D66" s="113">
        <f aca="true" t="shared" si="22" ref="D66:N66">D47*D6</f>
        <v>0</v>
      </c>
      <c r="E66" s="113">
        <f t="shared" si="22"/>
        <v>0</v>
      </c>
      <c r="F66" s="113">
        <f t="shared" si="22"/>
        <v>0</v>
      </c>
      <c r="G66" s="113">
        <f t="shared" si="22"/>
        <v>0</v>
      </c>
      <c r="H66" s="113">
        <f t="shared" si="22"/>
        <v>0</v>
      </c>
      <c r="I66" s="113">
        <f t="shared" si="22"/>
        <v>0</v>
      </c>
      <c r="J66" s="113">
        <f t="shared" si="22"/>
        <v>0</v>
      </c>
      <c r="K66" s="113">
        <f t="shared" si="22"/>
        <v>0</v>
      </c>
      <c r="L66" s="113">
        <f t="shared" si="22"/>
        <v>0</v>
      </c>
      <c r="M66" s="113">
        <f t="shared" si="22"/>
        <v>0</v>
      </c>
      <c r="N66" s="161">
        <f t="shared" si="22"/>
        <v>0</v>
      </c>
      <c r="O66" s="194">
        <f t="shared" si="21"/>
        <v>0</v>
      </c>
    </row>
    <row r="67" spans="1:15" ht="10.5">
      <c r="A67" s="81" t="s">
        <v>252</v>
      </c>
      <c r="B67" s="363" t="str">
        <f>VLOOKUP(A67,Классификаторы!$A:$B,2,FALSE)</f>
        <v>Продукт 3</v>
      </c>
      <c r="C67" s="113">
        <f aca="true" t="shared" si="23" ref="C67:N67">C48*C7</f>
        <v>0</v>
      </c>
      <c r="D67" s="113">
        <f t="shared" si="23"/>
        <v>0</v>
      </c>
      <c r="E67" s="113">
        <f t="shared" si="23"/>
        <v>0</v>
      </c>
      <c r="F67" s="113">
        <f t="shared" si="23"/>
        <v>0</v>
      </c>
      <c r="G67" s="113">
        <f t="shared" si="23"/>
        <v>0</v>
      </c>
      <c r="H67" s="113">
        <f t="shared" si="23"/>
        <v>0</v>
      </c>
      <c r="I67" s="113">
        <f t="shared" si="23"/>
        <v>0</v>
      </c>
      <c r="J67" s="113">
        <f t="shared" si="23"/>
        <v>0</v>
      </c>
      <c r="K67" s="113">
        <f t="shared" si="23"/>
        <v>0</v>
      </c>
      <c r="L67" s="113">
        <f t="shared" si="23"/>
        <v>0</v>
      </c>
      <c r="M67" s="113">
        <f t="shared" si="23"/>
        <v>0</v>
      </c>
      <c r="N67" s="161">
        <f t="shared" si="23"/>
        <v>0</v>
      </c>
      <c r="O67" s="194">
        <f t="shared" si="21"/>
        <v>0</v>
      </c>
    </row>
    <row r="68" spans="1:15" ht="10.5">
      <c r="A68" s="81" t="s">
        <v>253</v>
      </c>
      <c r="B68" s="363" t="str">
        <f>VLOOKUP(A68,Классификаторы!$A:$B,2,FALSE)</f>
        <v>Продукт 4</v>
      </c>
      <c r="C68" s="113">
        <f aca="true" t="shared" si="24" ref="C68:N68">C49*C8</f>
        <v>0</v>
      </c>
      <c r="D68" s="113">
        <f t="shared" si="24"/>
        <v>0</v>
      </c>
      <c r="E68" s="113">
        <f t="shared" si="24"/>
        <v>0</v>
      </c>
      <c r="F68" s="113">
        <f t="shared" si="24"/>
        <v>0</v>
      </c>
      <c r="G68" s="113">
        <f t="shared" si="24"/>
        <v>0</v>
      </c>
      <c r="H68" s="113">
        <f t="shared" si="24"/>
        <v>0</v>
      </c>
      <c r="I68" s="113">
        <f t="shared" si="24"/>
        <v>0</v>
      </c>
      <c r="J68" s="113">
        <f t="shared" si="24"/>
        <v>0</v>
      </c>
      <c r="K68" s="113">
        <f t="shared" si="24"/>
        <v>0</v>
      </c>
      <c r="L68" s="113">
        <f t="shared" si="24"/>
        <v>0</v>
      </c>
      <c r="M68" s="113">
        <f t="shared" si="24"/>
        <v>0</v>
      </c>
      <c r="N68" s="161">
        <f t="shared" si="24"/>
        <v>0</v>
      </c>
      <c r="O68" s="194">
        <f t="shared" si="21"/>
        <v>0</v>
      </c>
    </row>
    <row r="69" spans="1:15" ht="10.5">
      <c r="A69" s="81" t="s">
        <v>254</v>
      </c>
      <c r="B69" s="363" t="str">
        <f>VLOOKUP(A69,Классификаторы!$A:$B,2,FALSE)</f>
        <v>Продукт 5</v>
      </c>
      <c r="C69" s="113">
        <f aca="true" t="shared" si="25" ref="C69:N69">C50*C9</f>
        <v>0</v>
      </c>
      <c r="D69" s="113">
        <f t="shared" si="25"/>
        <v>0</v>
      </c>
      <c r="E69" s="113">
        <f t="shared" si="25"/>
        <v>0</v>
      </c>
      <c r="F69" s="113">
        <f t="shared" si="25"/>
        <v>0</v>
      </c>
      <c r="G69" s="113">
        <f t="shared" si="25"/>
        <v>0</v>
      </c>
      <c r="H69" s="113">
        <f t="shared" si="25"/>
        <v>0</v>
      </c>
      <c r="I69" s="113">
        <f t="shared" si="25"/>
        <v>0</v>
      </c>
      <c r="J69" s="113">
        <f t="shared" si="25"/>
        <v>0</v>
      </c>
      <c r="K69" s="113">
        <f t="shared" si="25"/>
        <v>0</v>
      </c>
      <c r="L69" s="113">
        <f t="shared" si="25"/>
        <v>0</v>
      </c>
      <c r="M69" s="113">
        <f t="shared" si="25"/>
        <v>0</v>
      </c>
      <c r="N69" s="161">
        <f t="shared" si="25"/>
        <v>0</v>
      </c>
      <c r="O69" s="194">
        <f t="shared" si="21"/>
        <v>0</v>
      </c>
    </row>
    <row r="70" spans="1:15" ht="10.5">
      <c r="A70" s="81" t="s">
        <v>255</v>
      </c>
      <c r="B70" s="363" t="str">
        <f>VLOOKUP(A70,Классификаторы!$A:$B,2,FALSE)</f>
        <v>Продукт 6</v>
      </c>
      <c r="C70" s="113">
        <f aca="true" t="shared" si="26" ref="C70:N70">C51*C10</f>
        <v>0</v>
      </c>
      <c r="D70" s="113">
        <f t="shared" si="26"/>
        <v>0</v>
      </c>
      <c r="E70" s="113">
        <f t="shared" si="26"/>
        <v>0</v>
      </c>
      <c r="F70" s="113">
        <f t="shared" si="26"/>
        <v>0</v>
      </c>
      <c r="G70" s="113">
        <f t="shared" si="26"/>
        <v>0</v>
      </c>
      <c r="H70" s="113">
        <f t="shared" si="26"/>
        <v>0</v>
      </c>
      <c r="I70" s="113">
        <f t="shared" si="26"/>
        <v>0</v>
      </c>
      <c r="J70" s="113">
        <f t="shared" si="26"/>
        <v>0</v>
      </c>
      <c r="K70" s="113">
        <f t="shared" si="26"/>
        <v>0</v>
      </c>
      <c r="L70" s="113">
        <f t="shared" si="26"/>
        <v>0</v>
      </c>
      <c r="M70" s="113">
        <f t="shared" si="26"/>
        <v>0</v>
      </c>
      <c r="N70" s="161">
        <f t="shared" si="26"/>
        <v>0</v>
      </c>
      <c r="O70" s="194">
        <f t="shared" si="21"/>
        <v>0</v>
      </c>
    </row>
    <row r="71" spans="1:15" ht="10.5">
      <c r="A71" s="81" t="s">
        <v>256</v>
      </c>
      <c r="B71" s="363" t="str">
        <f>VLOOKUP(A71,Классификаторы!$A:$B,2,FALSE)</f>
        <v>Продукт 7</v>
      </c>
      <c r="C71" s="113">
        <f aca="true" t="shared" si="27" ref="C71:N71">C52*C11</f>
        <v>0</v>
      </c>
      <c r="D71" s="113">
        <f t="shared" si="27"/>
        <v>0</v>
      </c>
      <c r="E71" s="113">
        <f t="shared" si="27"/>
        <v>0</v>
      </c>
      <c r="F71" s="113">
        <f t="shared" si="27"/>
        <v>0</v>
      </c>
      <c r="G71" s="113">
        <f t="shared" si="27"/>
        <v>0</v>
      </c>
      <c r="H71" s="113">
        <f t="shared" si="27"/>
        <v>0</v>
      </c>
      <c r="I71" s="113">
        <f t="shared" si="27"/>
        <v>0</v>
      </c>
      <c r="J71" s="113">
        <f t="shared" si="27"/>
        <v>0</v>
      </c>
      <c r="K71" s="113">
        <f t="shared" si="27"/>
        <v>0</v>
      </c>
      <c r="L71" s="113">
        <f t="shared" si="27"/>
        <v>0</v>
      </c>
      <c r="M71" s="113">
        <f t="shared" si="27"/>
        <v>0</v>
      </c>
      <c r="N71" s="161">
        <f t="shared" si="27"/>
        <v>0</v>
      </c>
      <c r="O71" s="194">
        <f t="shared" si="21"/>
        <v>0</v>
      </c>
    </row>
    <row r="72" spans="1:15" ht="10.5">
      <c r="A72" s="81" t="s">
        <v>257</v>
      </c>
      <c r="B72" s="363" t="str">
        <f>VLOOKUP(A72,Классификаторы!$A:$B,2,FALSE)</f>
        <v>Продукт 8</v>
      </c>
      <c r="C72" s="113">
        <f aca="true" t="shared" si="28" ref="C72:N72">C53*C12</f>
        <v>0</v>
      </c>
      <c r="D72" s="113">
        <f t="shared" si="28"/>
        <v>0</v>
      </c>
      <c r="E72" s="113">
        <f t="shared" si="28"/>
        <v>0</v>
      </c>
      <c r="F72" s="113">
        <f t="shared" si="28"/>
        <v>0</v>
      </c>
      <c r="G72" s="113">
        <f t="shared" si="28"/>
        <v>0</v>
      </c>
      <c r="H72" s="113">
        <f t="shared" si="28"/>
        <v>0</v>
      </c>
      <c r="I72" s="113">
        <f t="shared" si="28"/>
        <v>0</v>
      </c>
      <c r="J72" s="113">
        <f t="shared" si="28"/>
        <v>0</v>
      </c>
      <c r="K72" s="113">
        <f t="shared" si="28"/>
        <v>0</v>
      </c>
      <c r="L72" s="113">
        <f t="shared" si="28"/>
        <v>0</v>
      </c>
      <c r="M72" s="113">
        <f t="shared" si="28"/>
        <v>0</v>
      </c>
      <c r="N72" s="161">
        <f t="shared" si="28"/>
        <v>0</v>
      </c>
      <c r="O72" s="194">
        <f t="shared" si="21"/>
        <v>0</v>
      </c>
    </row>
    <row r="73" spans="1:15" ht="10.5">
      <c r="A73" s="81" t="s">
        <v>258</v>
      </c>
      <c r="B73" s="363" t="str">
        <f>VLOOKUP(A73,Классификаторы!$A:$B,2,FALSE)</f>
        <v>Продукт 9</v>
      </c>
      <c r="C73" s="113">
        <f aca="true" t="shared" si="29" ref="C73:N73">C54*C13</f>
        <v>0</v>
      </c>
      <c r="D73" s="113">
        <f t="shared" si="29"/>
        <v>0</v>
      </c>
      <c r="E73" s="113">
        <f t="shared" si="29"/>
        <v>0</v>
      </c>
      <c r="F73" s="113">
        <f t="shared" si="29"/>
        <v>0</v>
      </c>
      <c r="G73" s="113">
        <f t="shared" si="29"/>
        <v>0</v>
      </c>
      <c r="H73" s="113">
        <f t="shared" si="29"/>
        <v>0</v>
      </c>
      <c r="I73" s="113">
        <f t="shared" si="29"/>
        <v>0</v>
      </c>
      <c r="J73" s="113">
        <f t="shared" si="29"/>
        <v>0</v>
      </c>
      <c r="K73" s="113">
        <f t="shared" si="29"/>
        <v>0</v>
      </c>
      <c r="L73" s="113">
        <f t="shared" si="29"/>
        <v>0</v>
      </c>
      <c r="M73" s="113">
        <f t="shared" si="29"/>
        <v>0</v>
      </c>
      <c r="N73" s="161">
        <f t="shared" si="29"/>
        <v>0</v>
      </c>
      <c r="O73" s="194">
        <f t="shared" si="21"/>
        <v>0</v>
      </c>
    </row>
    <row r="74" spans="1:15" ht="10.5">
      <c r="A74" s="81" t="s">
        <v>259</v>
      </c>
      <c r="B74" s="363" t="str">
        <f>VLOOKUP(A74,Классификаторы!$A:$B,2,FALSE)</f>
        <v>Продукт 10</v>
      </c>
      <c r="C74" s="113">
        <f aca="true" t="shared" si="30" ref="C74:N74">C55*C14</f>
        <v>0</v>
      </c>
      <c r="D74" s="113">
        <f t="shared" si="30"/>
        <v>0</v>
      </c>
      <c r="E74" s="113">
        <f t="shared" si="30"/>
        <v>0</v>
      </c>
      <c r="F74" s="113">
        <f t="shared" si="30"/>
        <v>0</v>
      </c>
      <c r="G74" s="113">
        <f t="shared" si="30"/>
        <v>0</v>
      </c>
      <c r="H74" s="113">
        <f t="shared" si="30"/>
        <v>0</v>
      </c>
      <c r="I74" s="113">
        <f t="shared" si="30"/>
        <v>0</v>
      </c>
      <c r="J74" s="113">
        <f t="shared" si="30"/>
        <v>0</v>
      </c>
      <c r="K74" s="113">
        <f t="shared" si="30"/>
        <v>0</v>
      </c>
      <c r="L74" s="113">
        <f t="shared" si="30"/>
        <v>0</v>
      </c>
      <c r="M74" s="113">
        <f t="shared" si="30"/>
        <v>0</v>
      </c>
      <c r="N74" s="161">
        <f t="shared" si="30"/>
        <v>0</v>
      </c>
      <c r="O74" s="194">
        <f t="shared" si="21"/>
        <v>0</v>
      </c>
    </row>
    <row r="75" spans="1:15" ht="10.5">
      <c r="A75" s="81" t="s">
        <v>264</v>
      </c>
      <c r="B75" s="363" t="str">
        <f>VLOOKUP(A75,Классификаторы!$A:$B,2,FALSE)</f>
        <v>Продукт 11</v>
      </c>
      <c r="C75" s="113">
        <f aca="true" t="shared" si="31" ref="C75:N75">C56*C15</f>
        <v>0</v>
      </c>
      <c r="D75" s="113">
        <f t="shared" si="31"/>
        <v>0</v>
      </c>
      <c r="E75" s="113">
        <f t="shared" si="31"/>
        <v>0</v>
      </c>
      <c r="F75" s="113">
        <f t="shared" si="31"/>
        <v>0</v>
      </c>
      <c r="G75" s="113">
        <f t="shared" si="31"/>
        <v>0</v>
      </c>
      <c r="H75" s="113">
        <f t="shared" si="31"/>
        <v>0</v>
      </c>
      <c r="I75" s="113">
        <f t="shared" si="31"/>
        <v>0</v>
      </c>
      <c r="J75" s="113">
        <f t="shared" si="31"/>
        <v>0</v>
      </c>
      <c r="K75" s="113">
        <f t="shared" si="31"/>
        <v>0</v>
      </c>
      <c r="L75" s="113">
        <f t="shared" si="31"/>
        <v>0</v>
      </c>
      <c r="M75" s="113">
        <f t="shared" si="31"/>
        <v>0</v>
      </c>
      <c r="N75" s="161">
        <f t="shared" si="31"/>
        <v>0</v>
      </c>
      <c r="O75" s="194">
        <f t="shared" si="21"/>
        <v>0</v>
      </c>
    </row>
    <row r="76" spans="1:15" ht="10.5">
      <c r="A76" s="81" t="s">
        <v>265</v>
      </c>
      <c r="B76" s="363" t="str">
        <f>VLOOKUP(A76,Классификаторы!$A:$B,2,FALSE)</f>
        <v>Продукт 12</v>
      </c>
      <c r="C76" s="113">
        <f aca="true" t="shared" si="32" ref="C76:N76">C57*C16</f>
        <v>0</v>
      </c>
      <c r="D76" s="113">
        <f t="shared" si="32"/>
        <v>0</v>
      </c>
      <c r="E76" s="113">
        <f t="shared" si="32"/>
        <v>0</v>
      </c>
      <c r="F76" s="113">
        <f t="shared" si="32"/>
        <v>0</v>
      </c>
      <c r="G76" s="113">
        <f t="shared" si="32"/>
        <v>0</v>
      </c>
      <c r="H76" s="113">
        <f t="shared" si="32"/>
        <v>0</v>
      </c>
      <c r="I76" s="113">
        <f t="shared" si="32"/>
        <v>0</v>
      </c>
      <c r="J76" s="113">
        <f t="shared" si="32"/>
        <v>0</v>
      </c>
      <c r="K76" s="113">
        <f t="shared" si="32"/>
        <v>0</v>
      </c>
      <c r="L76" s="113">
        <f t="shared" si="32"/>
        <v>0</v>
      </c>
      <c r="M76" s="113">
        <f t="shared" si="32"/>
        <v>0</v>
      </c>
      <c r="N76" s="161">
        <f t="shared" si="32"/>
        <v>0</v>
      </c>
      <c r="O76" s="194">
        <f t="shared" si="21"/>
        <v>0</v>
      </c>
    </row>
    <row r="77" spans="1:15" ht="10.5">
      <c r="A77" s="81" t="s">
        <v>267</v>
      </c>
      <c r="B77" s="363" t="str">
        <f>VLOOKUP(A77,Классификаторы!$A:$B,2,FALSE)</f>
        <v>Продукт 13</v>
      </c>
      <c r="C77" s="113">
        <f aca="true" t="shared" si="33" ref="C77:N77">C58*C17</f>
        <v>0</v>
      </c>
      <c r="D77" s="113">
        <f t="shared" si="33"/>
        <v>0</v>
      </c>
      <c r="E77" s="113">
        <f t="shared" si="33"/>
        <v>0</v>
      </c>
      <c r="F77" s="113">
        <f t="shared" si="33"/>
        <v>0</v>
      </c>
      <c r="G77" s="113">
        <f t="shared" si="33"/>
        <v>0</v>
      </c>
      <c r="H77" s="113">
        <f t="shared" si="33"/>
        <v>0</v>
      </c>
      <c r="I77" s="113">
        <f t="shared" si="33"/>
        <v>0</v>
      </c>
      <c r="J77" s="113">
        <f t="shared" si="33"/>
        <v>0</v>
      </c>
      <c r="K77" s="113">
        <f t="shared" si="33"/>
        <v>0</v>
      </c>
      <c r="L77" s="113">
        <f t="shared" si="33"/>
        <v>0</v>
      </c>
      <c r="M77" s="113">
        <f t="shared" si="33"/>
        <v>0</v>
      </c>
      <c r="N77" s="161">
        <f t="shared" si="33"/>
        <v>0</v>
      </c>
      <c r="O77" s="194">
        <f t="shared" si="21"/>
        <v>0</v>
      </c>
    </row>
    <row r="78" spans="1:15" ht="10.5">
      <c r="A78" s="81" t="s">
        <v>268</v>
      </c>
      <c r="B78" s="363" t="str">
        <f>VLOOKUP(A78,Классификаторы!$A:$B,2,FALSE)</f>
        <v>Продукт 14</v>
      </c>
      <c r="C78" s="113">
        <f aca="true" t="shared" si="34" ref="C78:N78">C59*C18</f>
        <v>0</v>
      </c>
      <c r="D78" s="113">
        <f t="shared" si="34"/>
        <v>0</v>
      </c>
      <c r="E78" s="113">
        <f t="shared" si="34"/>
        <v>0</v>
      </c>
      <c r="F78" s="113">
        <f t="shared" si="34"/>
        <v>0</v>
      </c>
      <c r="G78" s="113">
        <f t="shared" si="34"/>
        <v>0</v>
      </c>
      <c r="H78" s="113">
        <f t="shared" si="34"/>
        <v>0</v>
      </c>
      <c r="I78" s="113">
        <f t="shared" si="34"/>
        <v>0</v>
      </c>
      <c r="J78" s="113">
        <f t="shared" si="34"/>
        <v>0</v>
      </c>
      <c r="K78" s="113">
        <f t="shared" si="34"/>
        <v>0</v>
      </c>
      <c r="L78" s="113">
        <f t="shared" si="34"/>
        <v>0</v>
      </c>
      <c r="M78" s="113">
        <f t="shared" si="34"/>
        <v>0</v>
      </c>
      <c r="N78" s="161">
        <f t="shared" si="34"/>
        <v>0</v>
      </c>
      <c r="O78" s="194">
        <f>SUM(C78:N78)</f>
        <v>0</v>
      </c>
    </row>
    <row r="79" spans="1:15" ht="10.5">
      <c r="A79" s="81" t="s">
        <v>269</v>
      </c>
      <c r="B79" s="363" t="str">
        <f>VLOOKUP(A79,Классификаторы!$A:$B,2,FALSE)</f>
        <v>Продукт 15</v>
      </c>
      <c r="C79" s="113">
        <f aca="true" t="shared" si="35" ref="C79:N79">C60*C19</f>
        <v>0</v>
      </c>
      <c r="D79" s="113">
        <f t="shared" si="35"/>
        <v>0</v>
      </c>
      <c r="E79" s="113">
        <f t="shared" si="35"/>
        <v>0</v>
      </c>
      <c r="F79" s="113">
        <f t="shared" si="35"/>
        <v>0</v>
      </c>
      <c r="G79" s="113">
        <f t="shared" si="35"/>
        <v>0</v>
      </c>
      <c r="H79" s="113">
        <f t="shared" si="35"/>
        <v>0</v>
      </c>
      <c r="I79" s="113">
        <f t="shared" si="35"/>
        <v>0</v>
      </c>
      <c r="J79" s="113">
        <f t="shared" si="35"/>
        <v>0</v>
      </c>
      <c r="K79" s="113">
        <f t="shared" si="35"/>
        <v>0</v>
      </c>
      <c r="L79" s="113">
        <f t="shared" si="35"/>
        <v>0</v>
      </c>
      <c r="M79" s="113">
        <f t="shared" si="35"/>
        <v>0</v>
      </c>
      <c r="N79" s="161">
        <f t="shared" si="35"/>
        <v>0</v>
      </c>
      <c r="O79" s="194">
        <f t="shared" si="21"/>
        <v>0</v>
      </c>
    </row>
    <row r="80" spans="1:15" ht="10.5">
      <c r="A80" s="328" t="s">
        <v>64</v>
      </c>
      <c r="B80" s="329"/>
      <c r="C80" s="330" t="s">
        <v>342</v>
      </c>
      <c r="D80" s="330" t="s">
        <v>342</v>
      </c>
      <c r="E80" s="330" t="s">
        <v>342</v>
      </c>
      <c r="F80" s="330" t="s">
        <v>342</v>
      </c>
      <c r="G80" s="330" t="s">
        <v>342</v>
      </c>
      <c r="H80" s="330" t="s">
        <v>342</v>
      </c>
      <c r="I80" s="330" t="s">
        <v>342</v>
      </c>
      <c r="J80" s="330" t="s">
        <v>342</v>
      </c>
      <c r="K80" s="330" t="s">
        <v>342</v>
      </c>
      <c r="L80" s="330" t="s">
        <v>342</v>
      </c>
      <c r="M80" s="330" t="s">
        <v>342</v>
      </c>
      <c r="N80" s="331" t="s">
        <v>342</v>
      </c>
      <c r="O80" s="332" t="s">
        <v>342</v>
      </c>
    </row>
    <row r="81" spans="1:15" ht="10.5">
      <c r="A81" s="364"/>
      <c r="B81" s="89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65"/>
      <c r="O81" s="361"/>
    </row>
    <row r="82" spans="1:15" s="34" customFormat="1" ht="10.5">
      <c r="A82" s="321" t="s">
        <v>163</v>
      </c>
      <c r="B82" s="365"/>
      <c r="C82" s="308">
        <f aca="true" t="shared" si="36" ref="C82:O82">SUM(C65:C81)</f>
        <v>0</v>
      </c>
      <c r="D82" s="308">
        <f t="shared" si="36"/>
        <v>0</v>
      </c>
      <c r="E82" s="308">
        <f t="shared" si="36"/>
        <v>0</v>
      </c>
      <c r="F82" s="308">
        <f t="shared" si="36"/>
        <v>0</v>
      </c>
      <c r="G82" s="308">
        <f t="shared" si="36"/>
        <v>0</v>
      </c>
      <c r="H82" s="308">
        <f t="shared" si="36"/>
        <v>0</v>
      </c>
      <c r="I82" s="308">
        <f t="shared" si="36"/>
        <v>0</v>
      </c>
      <c r="J82" s="308">
        <f t="shared" si="36"/>
        <v>0</v>
      </c>
      <c r="K82" s="308">
        <f t="shared" si="36"/>
        <v>0</v>
      </c>
      <c r="L82" s="308">
        <f t="shared" si="36"/>
        <v>0</v>
      </c>
      <c r="M82" s="308">
        <f t="shared" si="36"/>
        <v>0</v>
      </c>
      <c r="N82" s="309">
        <f t="shared" si="36"/>
        <v>0</v>
      </c>
      <c r="O82" s="140">
        <f t="shared" si="36"/>
        <v>0</v>
      </c>
    </row>
    <row r="83" ht="10.5">
      <c r="A83" s="34"/>
    </row>
    <row r="84" spans="1:15" ht="10.5">
      <c r="A84" s="110"/>
      <c r="B84" s="89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100"/>
    </row>
    <row r="85" spans="1:15" s="104" customFormat="1" ht="18" customHeight="1" thickBot="1">
      <c r="A85" s="103" t="s">
        <v>321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6"/>
    </row>
    <row r="86" spans="1:15" ht="10.5">
      <c r="A86" s="111"/>
      <c r="B86" s="107" t="s">
        <v>71</v>
      </c>
      <c r="C86" s="108">
        <v>39448</v>
      </c>
      <c r="D86" s="108">
        <v>39479</v>
      </c>
      <c r="E86" s="108">
        <v>39508</v>
      </c>
      <c r="F86" s="108">
        <v>39539</v>
      </c>
      <c r="G86" s="108">
        <v>39569</v>
      </c>
      <c r="H86" s="108">
        <v>39600</v>
      </c>
      <c r="I86" s="108">
        <v>39630</v>
      </c>
      <c r="J86" s="108">
        <v>39661</v>
      </c>
      <c r="K86" s="108">
        <v>39692</v>
      </c>
      <c r="L86" s="108">
        <v>39722</v>
      </c>
      <c r="M86" s="108">
        <v>39753</v>
      </c>
      <c r="N86" s="108">
        <v>39783</v>
      </c>
      <c r="O86" s="124" t="s">
        <v>67</v>
      </c>
    </row>
    <row r="87" spans="1:15" ht="21">
      <c r="A87" s="242"/>
      <c r="B87" s="377" t="s">
        <v>72</v>
      </c>
      <c r="C87" s="157">
        <f>C82</f>
        <v>0</v>
      </c>
      <c r="D87" s="157">
        <f aca="true" t="shared" si="37" ref="D87:N87">D82</f>
        <v>0</v>
      </c>
      <c r="E87" s="157">
        <f t="shared" si="37"/>
        <v>0</v>
      </c>
      <c r="F87" s="157">
        <f t="shared" si="37"/>
        <v>0</v>
      </c>
      <c r="G87" s="157">
        <f t="shared" si="37"/>
        <v>0</v>
      </c>
      <c r="H87" s="157">
        <f t="shared" si="37"/>
        <v>0</v>
      </c>
      <c r="I87" s="157">
        <f t="shared" si="37"/>
        <v>0</v>
      </c>
      <c r="J87" s="157">
        <f t="shared" si="37"/>
        <v>0</v>
      </c>
      <c r="K87" s="157">
        <f t="shared" si="37"/>
        <v>0</v>
      </c>
      <c r="L87" s="157">
        <f t="shared" si="37"/>
        <v>0</v>
      </c>
      <c r="M87" s="157">
        <f t="shared" si="37"/>
        <v>0</v>
      </c>
      <c r="N87" s="158">
        <f t="shared" si="37"/>
        <v>0</v>
      </c>
      <c r="O87" s="192">
        <f>SUM(C87:N87)</f>
        <v>0</v>
      </c>
    </row>
    <row r="88" spans="1:15" ht="21">
      <c r="A88" s="174"/>
      <c r="B88" s="378" t="s">
        <v>73</v>
      </c>
      <c r="C88" s="118">
        <f>C87*1.18</f>
        <v>0</v>
      </c>
      <c r="D88" s="118">
        <f aca="true" t="shared" si="38" ref="D88:N88">D87*1.18</f>
        <v>0</v>
      </c>
      <c r="E88" s="118">
        <f t="shared" si="38"/>
        <v>0</v>
      </c>
      <c r="F88" s="118">
        <f t="shared" si="38"/>
        <v>0</v>
      </c>
      <c r="G88" s="118">
        <f t="shared" si="38"/>
        <v>0</v>
      </c>
      <c r="H88" s="118">
        <f t="shared" si="38"/>
        <v>0</v>
      </c>
      <c r="I88" s="118">
        <f t="shared" si="38"/>
        <v>0</v>
      </c>
      <c r="J88" s="118">
        <f t="shared" si="38"/>
        <v>0</v>
      </c>
      <c r="K88" s="118">
        <f t="shared" si="38"/>
        <v>0</v>
      </c>
      <c r="L88" s="118">
        <f t="shared" si="38"/>
        <v>0</v>
      </c>
      <c r="M88" s="118">
        <f t="shared" si="38"/>
        <v>0</v>
      </c>
      <c r="N88" s="256">
        <f t="shared" si="38"/>
        <v>0</v>
      </c>
      <c r="O88" s="194">
        <f>SUM(C88:N88)</f>
        <v>0</v>
      </c>
    </row>
    <row r="89" spans="1:15" ht="31.5">
      <c r="A89" s="174"/>
      <c r="B89" s="86" t="s">
        <v>248</v>
      </c>
      <c r="C89" s="115"/>
      <c r="D89" s="115"/>
      <c r="E89" s="115"/>
      <c r="F89" s="19"/>
      <c r="G89" s="19"/>
      <c r="H89" s="19"/>
      <c r="I89" s="19"/>
      <c r="J89" s="19"/>
      <c r="K89" s="19"/>
      <c r="L89" s="19"/>
      <c r="M89" s="19"/>
      <c r="N89" s="190"/>
      <c r="O89" s="193"/>
    </row>
    <row r="90" spans="1:15" ht="31.5">
      <c r="A90" s="174"/>
      <c r="B90" s="116" t="s">
        <v>86</v>
      </c>
      <c r="C90" s="118">
        <f>C91+C92</f>
        <v>0</v>
      </c>
      <c r="D90" s="118">
        <f>D91+D92+C93</f>
        <v>0</v>
      </c>
      <c r="E90" s="118">
        <f>E91+E92+D93+C94</f>
        <v>0</v>
      </c>
      <c r="F90" s="118">
        <f aca="true" t="shared" si="39" ref="F90:N90">F91+F92+E93+D94</f>
        <v>0</v>
      </c>
      <c r="G90" s="118">
        <f t="shared" si="39"/>
        <v>0</v>
      </c>
      <c r="H90" s="118">
        <f t="shared" si="39"/>
        <v>0</v>
      </c>
      <c r="I90" s="118">
        <f t="shared" si="39"/>
        <v>0</v>
      </c>
      <c r="J90" s="118">
        <f t="shared" si="39"/>
        <v>0</v>
      </c>
      <c r="K90" s="118">
        <f t="shared" si="39"/>
        <v>0</v>
      </c>
      <c r="L90" s="118">
        <f t="shared" si="39"/>
        <v>0</v>
      </c>
      <c r="M90" s="118">
        <f t="shared" si="39"/>
        <v>0</v>
      </c>
      <c r="N90" s="256">
        <f t="shared" si="39"/>
        <v>0</v>
      </c>
      <c r="O90" s="194">
        <f aca="true" t="shared" si="40" ref="O90:O95">SUM(C90:N90)</f>
        <v>0</v>
      </c>
    </row>
    <row r="91" spans="1:15" ht="21">
      <c r="A91" s="174"/>
      <c r="B91" s="86" t="s">
        <v>79</v>
      </c>
      <c r="C91" s="113">
        <f>C89</f>
        <v>0</v>
      </c>
      <c r="D91" s="113">
        <f aca="true" t="shared" si="41" ref="D91:N91">D89</f>
        <v>0</v>
      </c>
      <c r="E91" s="113">
        <f t="shared" si="41"/>
        <v>0</v>
      </c>
      <c r="F91" s="113">
        <f t="shared" si="41"/>
        <v>0</v>
      </c>
      <c r="G91" s="113">
        <f t="shared" si="41"/>
        <v>0</v>
      </c>
      <c r="H91" s="113">
        <f t="shared" si="41"/>
        <v>0</v>
      </c>
      <c r="I91" s="113">
        <f t="shared" si="41"/>
        <v>0</v>
      </c>
      <c r="J91" s="113">
        <f t="shared" si="41"/>
        <v>0</v>
      </c>
      <c r="K91" s="113">
        <f t="shared" si="41"/>
        <v>0</v>
      </c>
      <c r="L91" s="113">
        <f t="shared" si="41"/>
        <v>0</v>
      </c>
      <c r="M91" s="113">
        <f t="shared" si="41"/>
        <v>0</v>
      </c>
      <c r="N91" s="161">
        <f t="shared" si="41"/>
        <v>0</v>
      </c>
      <c r="O91" s="194">
        <f t="shared" si="40"/>
        <v>0</v>
      </c>
    </row>
    <row r="92" spans="1:15" ht="10.5">
      <c r="A92" s="174"/>
      <c r="B92" s="86" t="s">
        <v>76</v>
      </c>
      <c r="C92" s="113">
        <f>IF(Оборачиваемость!C$3&lt;30,C$88*(30-Оборачиваемость!C$3)/30,0)</f>
        <v>0</v>
      </c>
      <c r="D92" s="113">
        <f>IF(Оборачиваемость!D$3&lt;30,D$88*(30-Оборачиваемость!D$3)/30,0)</f>
        <v>0</v>
      </c>
      <c r="E92" s="113">
        <f>IF(Оборачиваемость!E$3&lt;30,E$88*(30-Оборачиваемость!E$3)/30,0)</f>
        <v>0</v>
      </c>
      <c r="F92" s="113">
        <f>IF(Оборачиваемость!F$3&lt;30,F$88*(30-Оборачиваемость!F$3)/30,0)</f>
        <v>0</v>
      </c>
      <c r="G92" s="113">
        <f>IF(Оборачиваемость!G$3&lt;30,G$88*(30-Оборачиваемость!G$3)/30,0)</f>
        <v>0</v>
      </c>
      <c r="H92" s="113">
        <f>IF(Оборачиваемость!H$3&lt;30,H$88*(30-Оборачиваемость!H$3)/30,0)</f>
        <v>0</v>
      </c>
      <c r="I92" s="113">
        <f>IF(Оборачиваемость!I$3&lt;30,I$88*(30-Оборачиваемость!I$3)/30,0)</f>
        <v>0</v>
      </c>
      <c r="J92" s="113">
        <f>IF(Оборачиваемость!J$3&lt;30,J$88*(30-Оборачиваемость!J$3)/30,0)</f>
        <v>0</v>
      </c>
      <c r="K92" s="113">
        <f>IF(Оборачиваемость!K$3&lt;30,K$88*(30-Оборачиваемость!K$3)/30,0)</f>
        <v>0</v>
      </c>
      <c r="L92" s="113">
        <f>IF(Оборачиваемость!L$3&lt;30,L$88*(30-Оборачиваемость!L$3)/30,0)</f>
        <v>0</v>
      </c>
      <c r="M92" s="113">
        <f>IF(Оборачиваемость!M$3&lt;30,M$88*(30-Оборачиваемость!M$3)/30,0)</f>
        <v>0</v>
      </c>
      <c r="N92" s="161">
        <f>IF(Оборачиваемость!N$3&lt;30,N$88*(30-Оборачиваемость!N$3)/30,0)</f>
        <v>0</v>
      </c>
      <c r="O92" s="194">
        <f t="shared" si="40"/>
        <v>0</v>
      </c>
    </row>
    <row r="93" spans="1:15" ht="10.5">
      <c r="A93" s="174"/>
      <c r="B93" s="86" t="s">
        <v>77</v>
      </c>
      <c r="C93" s="113">
        <f>IF(Оборачиваемость!C$3&gt;=30,C$88*(60-Оборачиваемость!C$3)/30,C$88*Оборачиваемость!C$3/30)</f>
        <v>0</v>
      </c>
      <c r="D93" s="113">
        <f>IF(Оборачиваемость!D$3&gt;=30,D$88*(60-Оборачиваемость!D$3)/30,D$88*Оборачиваемость!D$3/30)</f>
        <v>0</v>
      </c>
      <c r="E93" s="113">
        <f>IF(Оборачиваемость!E$3&gt;=30,E$88*(60-Оборачиваемость!E$3)/30,E$88*Оборачиваемость!E$3/30)</f>
        <v>0</v>
      </c>
      <c r="F93" s="113">
        <f>IF(Оборачиваемость!F$3&gt;=30,F$88*(60-Оборачиваемость!F$3)/30,F$88*Оборачиваемость!F$3/30)</f>
        <v>0</v>
      </c>
      <c r="G93" s="113">
        <f>IF(Оборачиваемость!G$3&gt;=30,G$88*(60-Оборачиваемость!G$3)/30,G$88*Оборачиваемость!G$3/30)</f>
        <v>0</v>
      </c>
      <c r="H93" s="113">
        <f>IF(Оборачиваемость!H$3&gt;=30,H$88*(60-Оборачиваемость!H$3)/30,H$88*Оборачиваемость!H$3/30)</f>
        <v>0</v>
      </c>
      <c r="I93" s="113">
        <f>IF(Оборачиваемость!I$3&gt;=30,I$88*(60-Оборачиваемость!I$3)/30,I$88*Оборачиваемость!I$3/30)</f>
        <v>0</v>
      </c>
      <c r="J93" s="113">
        <f>IF(Оборачиваемость!J$3&gt;=30,J$88*(60-Оборачиваемость!J$3)/30,J$88*Оборачиваемость!J$3/30)</f>
        <v>0</v>
      </c>
      <c r="K93" s="113">
        <f>IF(Оборачиваемость!K$3&gt;=30,K$88*(60-Оборачиваемость!K$3)/30,K$88*Оборачиваемость!K$3/30)</f>
        <v>0</v>
      </c>
      <c r="L93" s="113">
        <f>IF(Оборачиваемость!L$3&gt;=30,L$88*(60-Оборачиваемость!L$3)/30,L$88*Оборачиваемость!L$3/30)</f>
        <v>0</v>
      </c>
      <c r="M93" s="113">
        <f>IF(Оборачиваемость!M$3&gt;=30,M$88*(60-Оборачиваемость!M$3)/30,M$88*Оборачиваемость!M$3/30)</f>
        <v>0</v>
      </c>
      <c r="N93" s="161">
        <f>IF(Оборачиваемость!N$3&gt;=30,N$88*(60-Оборачиваемость!N$3)/30,N$88*Оборачиваемость!N$3/30)</f>
        <v>0</v>
      </c>
      <c r="O93" s="194">
        <f t="shared" si="40"/>
        <v>0</v>
      </c>
    </row>
    <row r="94" spans="1:15" ht="10.5">
      <c r="A94" s="376"/>
      <c r="B94" s="86" t="s">
        <v>78</v>
      </c>
      <c r="C94" s="113">
        <f aca="true" t="shared" si="42" ref="C94:N94">C88-C92-C93</f>
        <v>0</v>
      </c>
      <c r="D94" s="113">
        <f t="shared" si="42"/>
        <v>0</v>
      </c>
      <c r="E94" s="113">
        <f t="shared" si="42"/>
        <v>0</v>
      </c>
      <c r="F94" s="113">
        <f t="shared" si="42"/>
        <v>0</v>
      </c>
      <c r="G94" s="113">
        <f t="shared" si="42"/>
        <v>0</v>
      </c>
      <c r="H94" s="113">
        <f t="shared" si="42"/>
        <v>0</v>
      </c>
      <c r="I94" s="113">
        <f t="shared" si="42"/>
        <v>0</v>
      </c>
      <c r="J94" s="113">
        <f t="shared" si="42"/>
        <v>0</v>
      </c>
      <c r="K94" s="113">
        <f t="shared" si="42"/>
        <v>0</v>
      </c>
      <c r="L94" s="113">
        <f t="shared" si="42"/>
        <v>0</v>
      </c>
      <c r="M94" s="113">
        <f t="shared" si="42"/>
        <v>0</v>
      </c>
      <c r="N94" s="161">
        <f t="shared" si="42"/>
        <v>0</v>
      </c>
      <c r="O94" s="194">
        <f t="shared" si="40"/>
        <v>0</v>
      </c>
    </row>
    <row r="95" spans="1:15" ht="31.5">
      <c r="A95" s="244"/>
      <c r="B95" s="373" t="s">
        <v>75</v>
      </c>
      <c r="C95" s="374">
        <f>C88-C90</f>
        <v>0</v>
      </c>
      <c r="D95" s="374">
        <f aca="true" t="shared" si="43" ref="D95:N95">D88-D90</f>
        <v>0</v>
      </c>
      <c r="E95" s="374">
        <f t="shared" si="43"/>
        <v>0</v>
      </c>
      <c r="F95" s="374">
        <f t="shared" si="43"/>
        <v>0</v>
      </c>
      <c r="G95" s="374">
        <f t="shared" si="43"/>
        <v>0</v>
      </c>
      <c r="H95" s="374">
        <f t="shared" si="43"/>
        <v>0</v>
      </c>
      <c r="I95" s="374">
        <f t="shared" si="43"/>
        <v>0</v>
      </c>
      <c r="J95" s="374">
        <f t="shared" si="43"/>
        <v>0</v>
      </c>
      <c r="K95" s="374">
        <f t="shared" si="43"/>
        <v>0</v>
      </c>
      <c r="L95" s="374">
        <f t="shared" si="43"/>
        <v>0</v>
      </c>
      <c r="M95" s="374">
        <f t="shared" si="43"/>
        <v>0</v>
      </c>
      <c r="N95" s="375">
        <f t="shared" si="43"/>
        <v>0</v>
      </c>
      <c r="O95" s="367">
        <f t="shared" si="40"/>
        <v>0</v>
      </c>
    </row>
    <row r="96" ht="10.5">
      <c r="A96" s="45"/>
    </row>
    <row r="97" ht="10.5">
      <c r="A97" s="45"/>
    </row>
    <row r="98" ht="10.5">
      <c r="A98" s="45"/>
    </row>
    <row r="99" ht="10.5">
      <c r="A99" s="45"/>
    </row>
    <row r="100" spans="1:3" ht="13.5" thickBot="1">
      <c r="A100" s="77" t="s">
        <v>322</v>
      </c>
      <c r="C100" s="27"/>
    </row>
    <row r="101" spans="1:15" ht="21">
      <c r="A101" s="55" t="s">
        <v>68</v>
      </c>
      <c r="B101" s="55" t="s">
        <v>69</v>
      </c>
      <c r="C101" s="56">
        <v>39448</v>
      </c>
      <c r="D101" s="56">
        <v>39479</v>
      </c>
      <c r="E101" s="56">
        <v>39508</v>
      </c>
      <c r="F101" s="56">
        <v>39539</v>
      </c>
      <c r="G101" s="56">
        <v>39569</v>
      </c>
      <c r="H101" s="56">
        <v>39600</v>
      </c>
      <c r="I101" s="56">
        <v>39630</v>
      </c>
      <c r="J101" s="56">
        <v>39661</v>
      </c>
      <c r="K101" s="56">
        <v>39692</v>
      </c>
      <c r="L101" s="56">
        <v>39722</v>
      </c>
      <c r="M101" s="56">
        <v>39753</v>
      </c>
      <c r="N101" s="56">
        <v>39783</v>
      </c>
      <c r="O101" s="366" t="s">
        <v>67</v>
      </c>
    </row>
    <row r="102" spans="1:15" ht="10.5">
      <c r="A102" s="97" t="s">
        <v>250</v>
      </c>
      <c r="B102" s="119" t="str">
        <f>VLOOKUP(A102,Классификаторы!$A:$B,2,FALSE)</f>
        <v>Продукт 1</v>
      </c>
      <c r="C102" s="120">
        <f>SUMIF('Закупки сырья'!$A$90:$A$283,$B102,'Закупки сырья'!$F$90:$F$283)*SUMIF($B$5:$B$24,$B102,C$5:C$24)</f>
        <v>0</v>
      </c>
      <c r="D102" s="120">
        <f>SUMIF('Закупки сырья'!$A$90:$A$283,$B102,'Закупки сырья'!$F$90:$F$283)*SUMIF($B$5:$B$24,$B102,D$5:D$24)</f>
        <v>0</v>
      </c>
      <c r="E102" s="120">
        <f>SUMIF('Закупки сырья'!$A$90:$A$283,$B102,'Закупки сырья'!$F$90:$F$283)*SUMIF($B$5:$B$24,$B102,E$5:E$24)</f>
        <v>0</v>
      </c>
      <c r="F102" s="120">
        <f>SUMIF('Закупки сырья'!$A$90:$A$283,$B102,'Закупки сырья'!$F$90:$F$283)*SUMIF($B$5:$B$24,$B102,F$5:F$24)</f>
        <v>0</v>
      </c>
      <c r="G102" s="120">
        <f>SUMIF('Закупки сырья'!$A$90:$A$283,$B102,'Закупки сырья'!$F$90:$F$283)*SUMIF($B$5:$B$24,$B102,G$5:G$24)</f>
        <v>0</v>
      </c>
      <c r="H102" s="120">
        <f>SUMIF('Закупки сырья'!$A$90:$A$283,$B102,'Закупки сырья'!$F$90:$F$283)*SUMIF($B$5:$B$24,$B102,H$5:H$24)</f>
        <v>0</v>
      </c>
      <c r="I102" s="120">
        <f>SUMIF('Закупки сырья'!$A$90:$A$283,$B102,'Закупки сырья'!$F$90:$F$283)*SUMIF($B$5:$B$24,$B102,I$5:I$24)</f>
        <v>0</v>
      </c>
      <c r="J102" s="120">
        <f>SUMIF('Закупки сырья'!$A$90:$A$283,$B102,'Закупки сырья'!$F$90:$F$283)*SUMIF($B$5:$B$24,$B102,J$5:J$24)</f>
        <v>0</v>
      </c>
      <c r="K102" s="120">
        <f>SUMIF('Закупки сырья'!$A$90:$A$283,$B102,'Закупки сырья'!$F$90:$F$283)*SUMIF($B$5:$B$24,$B102,K$5:K$24)</f>
        <v>0</v>
      </c>
      <c r="L102" s="120">
        <f>SUMIF('Закупки сырья'!$A$90:$A$283,$B102,'Закупки сырья'!$F$90:$F$283)*SUMIF($B$5:$B$24,$B102,L$5:L$24)</f>
        <v>0</v>
      </c>
      <c r="M102" s="120">
        <f>SUMIF('Закупки сырья'!$A$90:$A$283,$B102,'Закупки сырья'!$F$90:$F$283)*SUMIF($B$5:$B$24,$B102,M$5:M$24)</f>
        <v>0</v>
      </c>
      <c r="N102" s="120">
        <f>SUMIF('Закупки сырья'!$A$90:$A$283,$B102,'Закупки сырья'!$F$90:$F$283)*SUMIF($B$5:$B$24,$B102,N$5:N$24)</f>
        <v>0</v>
      </c>
      <c r="O102" s="192">
        <f>SUM(C102:N102)</f>
        <v>0</v>
      </c>
    </row>
    <row r="103" spans="1:15" ht="10.5">
      <c r="A103" s="97" t="s">
        <v>251</v>
      </c>
      <c r="B103" s="119" t="str">
        <f>VLOOKUP(A103,Классификаторы!$A:$B,2,FALSE)</f>
        <v>Продукт 2</v>
      </c>
      <c r="C103" s="120">
        <f>SUMIF('Закупки сырья'!$A$90:$A$283,$B103,'Закупки сырья'!$F$90:$F$283)*SUMIF($B$5:$B$24,$B103,C$5:C$24)</f>
        <v>0</v>
      </c>
      <c r="D103" s="120">
        <f>SUMIF('Закупки сырья'!$A$90:$A$283,$B103,'Закупки сырья'!$F$90:$F$283)*SUMIF($B$5:$B$24,$B103,D$5:D$24)</f>
        <v>0</v>
      </c>
      <c r="E103" s="120">
        <f>SUMIF('Закупки сырья'!$A$90:$A$283,$B103,'Закупки сырья'!$F$90:$F$283)*SUMIF($B$5:$B$24,$B103,E$5:E$24)</f>
        <v>0</v>
      </c>
      <c r="F103" s="120">
        <f>SUMIF('Закупки сырья'!$A$90:$A$283,$B103,'Закупки сырья'!$F$90:$F$283)*SUMIF($B$5:$B$24,$B103,F$5:F$24)</f>
        <v>0</v>
      </c>
      <c r="G103" s="120">
        <f>SUMIF('Закупки сырья'!$A$90:$A$283,$B103,'Закупки сырья'!$F$90:$F$283)*SUMIF($B$5:$B$24,$B103,G$5:G$24)</f>
        <v>0</v>
      </c>
      <c r="H103" s="120">
        <f>SUMIF('Закупки сырья'!$A$90:$A$283,$B103,'Закупки сырья'!$F$90:$F$283)*SUMIF($B$5:$B$24,$B103,H$5:H$24)</f>
        <v>0</v>
      </c>
      <c r="I103" s="120">
        <f>SUMIF('Закупки сырья'!$A$90:$A$283,$B103,'Закупки сырья'!$F$90:$F$283)*SUMIF($B$5:$B$24,$B103,I$5:I$24)</f>
        <v>0</v>
      </c>
      <c r="J103" s="120">
        <f>SUMIF('Закупки сырья'!$A$90:$A$283,$B103,'Закупки сырья'!$F$90:$F$283)*SUMIF($B$5:$B$24,$B103,J$5:J$24)</f>
        <v>0</v>
      </c>
      <c r="K103" s="120">
        <f>SUMIF('Закупки сырья'!$A$90:$A$283,$B103,'Закупки сырья'!$F$90:$F$283)*SUMIF($B$5:$B$24,$B103,K$5:K$24)</f>
        <v>0</v>
      </c>
      <c r="L103" s="120">
        <f>SUMIF('Закупки сырья'!$A$90:$A$283,$B103,'Закупки сырья'!$F$90:$F$283)*SUMIF($B$5:$B$24,$B103,L$5:L$24)</f>
        <v>0</v>
      </c>
      <c r="M103" s="120">
        <f>SUMIF('Закупки сырья'!$A$90:$A$283,$B103,'Закупки сырья'!$F$90:$F$283)*SUMIF($B$5:$B$24,$B103,M$5:M$24)</f>
        <v>0</v>
      </c>
      <c r="N103" s="120">
        <f>SUMIF('Закупки сырья'!$A$90:$A$283,$B103,'Закупки сырья'!$F$90:$F$283)*SUMIF($B$5:$B$24,$B103,N$5:N$24)</f>
        <v>0</v>
      </c>
      <c r="O103" s="194">
        <f aca="true" t="shared" si="44" ref="O103:O116">SUM(C103:N103)</f>
        <v>0</v>
      </c>
    </row>
    <row r="104" spans="1:15" ht="10.5">
      <c r="A104" s="97" t="s">
        <v>252</v>
      </c>
      <c r="B104" s="119" t="str">
        <f>VLOOKUP(A104,Классификаторы!$A:$B,2,FALSE)</f>
        <v>Продукт 3</v>
      </c>
      <c r="C104" s="120">
        <f>SUMIF('Закупки сырья'!$A$90:$A$283,$B104,'Закупки сырья'!$F$90:$F$283)*SUMIF($B$5:$B$24,$B104,C$5:C$24)</f>
        <v>0</v>
      </c>
      <c r="D104" s="120">
        <f>SUMIF('Закупки сырья'!$A$90:$A$283,$B104,'Закупки сырья'!$F$90:$F$283)*SUMIF($B$5:$B$24,$B104,D$5:D$24)</f>
        <v>0</v>
      </c>
      <c r="E104" s="120">
        <f>SUMIF('Закупки сырья'!$A$90:$A$283,$B104,'Закупки сырья'!$F$90:$F$283)*SUMIF($B$5:$B$24,$B104,E$5:E$24)</f>
        <v>0</v>
      </c>
      <c r="F104" s="120">
        <f>SUMIF('Закупки сырья'!$A$90:$A$283,$B104,'Закупки сырья'!$F$90:$F$283)*SUMIF($B$5:$B$24,$B104,F$5:F$24)</f>
        <v>0</v>
      </c>
      <c r="G104" s="120">
        <f>SUMIF('Закупки сырья'!$A$90:$A$283,$B104,'Закупки сырья'!$F$90:$F$283)*SUMIF($B$5:$B$24,$B104,G$5:G$24)</f>
        <v>0</v>
      </c>
      <c r="H104" s="120">
        <f>SUMIF('Закупки сырья'!$A$90:$A$283,$B104,'Закупки сырья'!$F$90:$F$283)*SUMIF($B$5:$B$24,$B104,H$5:H$24)</f>
        <v>0</v>
      </c>
      <c r="I104" s="120">
        <f>SUMIF('Закупки сырья'!$A$90:$A$283,$B104,'Закупки сырья'!$F$90:$F$283)*SUMIF($B$5:$B$24,$B104,I$5:I$24)</f>
        <v>0</v>
      </c>
      <c r="J104" s="120">
        <f>SUMIF('Закупки сырья'!$A$90:$A$283,$B104,'Закупки сырья'!$F$90:$F$283)*SUMIF($B$5:$B$24,$B104,J$5:J$24)</f>
        <v>0</v>
      </c>
      <c r="K104" s="120">
        <f>SUMIF('Закупки сырья'!$A$90:$A$283,$B104,'Закупки сырья'!$F$90:$F$283)*SUMIF($B$5:$B$24,$B104,K$5:K$24)</f>
        <v>0</v>
      </c>
      <c r="L104" s="120">
        <f>SUMIF('Закупки сырья'!$A$90:$A$283,$B104,'Закупки сырья'!$F$90:$F$283)*SUMIF($B$5:$B$24,$B104,L$5:L$24)</f>
        <v>0</v>
      </c>
      <c r="M104" s="120">
        <f>SUMIF('Закупки сырья'!$A$90:$A$283,$B104,'Закупки сырья'!$F$90:$F$283)*SUMIF($B$5:$B$24,$B104,M$5:M$24)</f>
        <v>0</v>
      </c>
      <c r="N104" s="120">
        <f>SUMIF('Закупки сырья'!$A$90:$A$283,$B104,'Закупки сырья'!$F$90:$F$283)*SUMIF($B$5:$B$24,$B104,N$5:N$24)</f>
        <v>0</v>
      </c>
      <c r="O104" s="194">
        <f t="shared" si="44"/>
        <v>0</v>
      </c>
    </row>
    <row r="105" spans="1:15" ht="10.5">
      <c r="A105" s="97" t="s">
        <v>253</v>
      </c>
      <c r="B105" s="119" t="str">
        <f>VLOOKUP(A105,Классификаторы!$A:$B,2,FALSE)</f>
        <v>Продукт 4</v>
      </c>
      <c r="C105" s="120">
        <f>SUMIF('Закупки сырья'!$A$90:$A$283,$B105,'Закупки сырья'!$F$90:$F$283)*SUMIF($B$5:$B$24,$B105,C$5:C$24)</f>
        <v>0</v>
      </c>
      <c r="D105" s="120">
        <f>SUMIF('Закупки сырья'!$A$90:$A$283,$B105,'Закупки сырья'!$F$90:$F$283)*SUMIF($B$5:$B$24,$B105,D$5:D$24)</f>
        <v>0</v>
      </c>
      <c r="E105" s="120">
        <f>SUMIF('Закупки сырья'!$A$90:$A$283,$B105,'Закупки сырья'!$F$90:$F$283)*SUMIF($B$5:$B$24,$B105,E$5:E$24)</f>
        <v>0</v>
      </c>
      <c r="F105" s="120">
        <f>SUMIF('Закупки сырья'!$A$90:$A$283,$B105,'Закупки сырья'!$F$90:$F$283)*SUMIF($B$5:$B$24,$B105,F$5:F$24)</f>
        <v>0</v>
      </c>
      <c r="G105" s="120">
        <f>SUMIF('Закупки сырья'!$A$90:$A$283,$B105,'Закупки сырья'!$F$90:$F$283)*SUMIF($B$5:$B$24,$B105,G$5:G$24)</f>
        <v>0</v>
      </c>
      <c r="H105" s="120">
        <f>SUMIF('Закупки сырья'!$A$90:$A$283,$B105,'Закупки сырья'!$F$90:$F$283)*SUMIF($B$5:$B$24,$B105,H$5:H$24)</f>
        <v>0</v>
      </c>
      <c r="I105" s="120">
        <f>SUMIF('Закупки сырья'!$A$90:$A$283,$B105,'Закупки сырья'!$F$90:$F$283)*SUMIF($B$5:$B$24,$B105,I$5:I$24)</f>
        <v>0</v>
      </c>
      <c r="J105" s="120">
        <f>SUMIF('Закупки сырья'!$A$90:$A$283,$B105,'Закупки сырья'!$F$90:$F$283)*SUMIF($B$5:$B$24,$B105,J$5:J$24)</f>
        <v>0</v>
      </c>
      <c r="K105" s="120">
        <f>SUMIF('Закупки сырья'!$A$90:$A$283,$B105,'Закупки сырья'!$F$90:$F$283)*SUMIF($B$5:$B$24,$B105,K$5:K$24)</f>
        <v>0</v>
      </c>
      <c r="L105" s="120">
        <f>SUMIF('Закупки сырья'!$A$90:$A$283,$B105,'Закупки сырья'!$F$90:$F$283)*SUMIF($B$5:$B$24,$B105,L$5:L$24)</f>
        <v>0</v>
      </c>
      <c r="M105" s="120">
        <f>SUMIF('Закупки сырья'!$A$90:$A$283,$B105,'Закупки сырья'!$F$90:$F$283)*SUMIF($B$5:$B$24,$B105,M$5:M$24)</f>
        <v>0</v>
      </c>
      <c r="N105" s="120">
        <f>SUMIF('Закупки сырья'!$A$90:$A$283,$B105,'Закупки сырья'!$F$90:$F$283)*SUMIF($B$5:$B$24,$B105,N$5:N$24)</f>
        <v>0</v>
      </c>
      <c r="O105" s="194">
        <f t="shared" si="44"/>
        <v>0</v>
      </c>
    </row>
    <row r="106" spans="1:15" ht="10.5">
      <c r="A106" s="97" t="s">
        <v>254</v>
      </c>
      <c r="B106" s="119" t="str">
        <f>VLOOKUP(A106,Классификаторы!$A:$B,2,FALSE)</f>
        <v>Продукт 5</v>
      </c>
      <c r="C106" s="120">
        <f>SUMIF('Закупки сырья'!$A$90:$A$283,$B106,'Закупки сырья'!$F$90:$F$283)*SUMIF($B$5:$B$24,$B106,C$5:C$24)</f>
        <v>0</v>
      </c>
      <c r="D106" s="120">
        <f>SUMIF('Закупки сырья'!$A$90:$A$283,$B106,'Закупки сырья'!$F$90:$F$283)*SUMIF($B$5:$B$24,$B106,D$5:D$24)</f>
        <v>0</v>
      </c>
      <c r="E106" s="120">
        <f>SUMIF('Закупки сырья'!$A$90:$A$283,$B106,'Закупки сырья'!$F$90:$F$283)*SUMIF($B$5:$B$24,$B106,E$5:E$24)</f>
        <v>0</v>
      </c>
      <c r="F106" s="120">
        <f>SUMIF('Закупки сырья'!$A$90:$A$283,$B106,'Закупки сырья'!$F$90:$F$283)*SUMIF($B$5:$B$24,$B106,F$5:F$24)</f>
        <v>0</v>
      </c>
      <c r="G106" s="120">
        <f>SUMIF('Закупки сырья'!$A$90:$A$283,$B106,'Закупки сырья'!$F$90:$F$283)*SUMIF($B$5:$B$24,$B106,G$5:G$24)</f>
        <v>0</v>
      </c>
      <c r="H106" s="120">
        <f>SUMIF('Закупки сырья'!$A$90:$A$283,$B106,'Закупки сырья'!$F$90:$F$283)*SUMIF($B$5:$B$24,$B106,H$5:H$24)</f>
        <v>0</v>
      </c>
      <c r="I106" s="120">
        <f>SUMIF('Закупки сырья'!$A$90:$A$283,$B106,'Закупки сырья'!$F$90:$F$283)*SUMIF($B$5:$B$24,$B106,I$5:I$24)</f>
        <v>0</v>
      </c>
      <c r="J106" s="120">
        <f>SUMIF('Закупки сырья'!$A$90:$A$283,$B106,'Закупки сырья'!$F$90:$F$283)*SUMIF($B$5:$B$24,$B106,J$5:J$24)</f>
        <v>0</v>
      </c>
      <c r="K106" s="120">
        <f>SUMIF('Закупки сырья'!$A$90:$A$283,$B106,'Закупки сырья'!$F$90:$F$283)*SUMIF($B$5:$B$24,$B106,K$5:K$24)</f>
        <v>0</v>
      </c>
      <c r="L106" s="120">
        <f>SUMIF('Закупки сырья'!$A$90:$A$283,$B106,'Закупки сырья'!$F$90:$F$283)*SUMIF($B$5:$B$24,$B106,L$5:L$24)</f>
        <v>0</v>
      </c>
      <c r="M106" s="120">
        <f>SUMIF('Закупки сырья'!$A$90:$A$283,$B106,'Закупки сырья'!$F$90:$F$283)*SUMIF($B$5:$B$24,$B106,M$5:M$24)</f>
        <v>0</v>
      </c>
      <c r="N106" s="120">
        <f>SUMIF('Закупки сырья'!$A$90:$A$283,$B106,'Закупки сырья'!$F$90:$F$283)*SUMIF($B$5:$B$24,$B106,N$5:N$24)</f>
        <v>0</v>
      </c>
      <c r="O106" s="194">
        <f t="shared" si="44"/>
        <v>0</v>
      </c>
    </row>
    <row r="107" spans="1:15" ht="10.5">
      <c r="A107" s="99" t="s">
        <v>255</v>
      </c>
      <c r="B107" s="119" t="str">
        <f>VLOOKUP(A107,Классификаторы!$A:$B,2,FALSE)</f>
        <v>Продукт 6</v>
      </c>
      <c r="C107" s="120">
        <f>SUMIF('Закупки сырья'!$A$90:$A$283,$B107,'Закупки сырья'!$F$90:$F$283)*SUMIF($B$5:$B$24,$B107,C$5:C$24)</f>
        <v>0</v>
      </c>
      <c r="D107" s="120">
        <f>SUMIF('Закупки сырья'!$A$90:$A$283,$B107,'Закупки сырья'!$F$90:$F$283)*SUMIF($B$5:$B$24,$B107,D$5:D$24)</f>
        <v>0</v>
      </c>
      <c r="E107" s="120">
        <f>SUMIF('Закупки сырья'!$A$90:$A$283,$B107,'Закупки сырья'!$F$90:$F$283)*SUMIF($B$5:$B$24,$B107,E$5:E$24)</f>
        <v>0</v>
      </c>
      <c r="F107" s="120">
        <f>SUMIF('Закупки сырья'!$A$90:$A$283,$B107,'Закупки сырья'!$F$90:$F$283)*SUMIF($B$5:$B$24,$B107,F$5:F$24)</f>
        <v>0</v>
      </c>
      <c r="G107" s="120">
        <f>SUMIF('Закупки сырья'!$A$90:$A$283,$B107,'Закупки сырья'!$F$90:$F$283)*SUMIF($B$5:$B$24,$B107,G$5:G$24)</f>
        <v>0</v>
      </c>
      <c r="H107" s="120">
        <f>SUMIF('Закупки сырья'!$A$90:$A$283,$B107,'Закупки сырья'!$F$90:$F$283)*SUMIF($B$5:$B$24,$B107,H$5:H$24)</f>
        <v>0</v>
      </c>
      <c r="I107" s="120">
        <f>SUMIF('Закупки сырья'!$A$90:$A$283,$B107,'Закупки сырья'!$F$90:$F$283)*SUMIF($B$5:$B$24,$B107,I$5:I$24)</f>
        <v>0</v>
      </c>
      <c r="J107" s="120">
        <f>SUMIF('Закупки сырья'!$A$90:$A$283,$B107,'Закупки сырья'!$F$90:$F$283)*SUMIF($B$5:$B$24,$B107,J$5:J$24)</f>
        <v>0</v>
      </c>
      <c r="K107" s="120">
        <f>SUMIF('Закупки сырья'!$A$90:$A$283,$B107,'Закупки сырья'!$F$90:$F$283)*SUMIF($B$5:$B$24,$B107,K$5:K$24)</f>
        <v>0</v>
      </c>
      <c r="L107" s="120">
        <f>SUMIF('Закупки сырья'!$A$90:$A$283,$B107,'Закупки сырья'!$F$90:$F$283)*SUMIF($B$5:$B$24,$B107,L$5:L$24)</f>
        <v>0</v>
      </c>
      <c r="M107" s="120">
        <f>SUMIF('Закупки сырья'!$A$90:$A$283,$B107,'Закупки сырья'!$F$90:$F$283)*SUMIF($B$5:$B$24,$B107,M$5:M$24)</f>
        <v>0</v>
      </c>
      <c r="N107" s="120">
        <f>SUMIF('Закупки сырья'!$A$90:$A$283,$B107,'Закупки сырья'!$F$90:$F$283)*SUMIF($B$5:$B$24,$B107,N$5:N$24)</f>
        <v>0</v>
      </c>
      <c r="O107" s="194">
        <f t="shared" si="44"/>
        <v>0</v>
      </c>
    </row>
    <row r="108" spans="1:15" ht="10.5">
      <c r="A108" s="99" t="s">
        <v>256</v>
      </c>
      <c r="B108" s="119" t="str">
        <f>VLOOKUP(A108,Классификаторы!$A:$B,2,FALSE)</f>
        <v>Продукт 7</v>
      </c>
      <c r="C108" s="120">
        <f>SUMIF('Закупки сырья'!$A$90:$A$283,$B108,'Закупки сырья'!$F$90:$F$283)*SUMIF($B$5:$B$24,$B108,C$5:C$24)</f>
        <v>0</v>
      </c>
      <c r="D108" s="120">
        <f>SUMIF('Закупки сырья'!$A$90:$A$283,$B108,'Закупки сырья'!$F$90:$F$283)*SUMIF($B$5:$B$24,$B108,D$5:D$24)</f>
        <v>0</v>
      </c>
      <c r="E108" s="120">
        <f>SUMIF('Закупки сырья'!$A$90:$A$283,$B108,'Закупки сырья'!$F$90:$F$283)*SUMIF($B$5:$B$24,$B108,E$5:E$24)</f>
        <v>0</v>
      </c>
      <c r="F108" s="120">
        <f>SUMIF('Закупки сырья'!$A$90:$A$283,$B108,'Закупки сырья'!$F$90:$F$283)*SUMIF($B$5:$B$24,$B108,F$5:F$24)</f>
        <v>0</v>
      </c>
      <c r="G108" s="120">
        <f>SUMIF('Закупки сырья'!$A$90:$A$283,$B108,'Закупки сырья'!$F$90:$F$283)*SUMIF($B$5:$B$24,$B108,G$5:G$24)</f>
        <v>0</v>
      </c>
      <c r="H108" s="120">
        <f>SUMIF('Закупки сырья'!$A$90:$A$283,$B108,'Закупки сырья'!$F$90:$F$283)*SUMIF($B$5:$B$24,$B108,H$5:H$24)</f>
        <v>0</v>
      </c>
      <c r="I108" s="120">
        <f>SUMIF('Закупки сырья'!$A$90:$A$283,$B108,'Закупки сырья'!$F$90:$F$283)*SUMIF($B$5:$B$24,$B108,I$5:I$24)</f>
        <v>0</v>
      </c>
      <c r="J108" s="120">
        <f>SUMIF('Закупки сырья'!$A$90:$A$283,$B108,'Закупки сырья'!$F$90:$F$283)*SUMIF($B$5:$B$24,$B108,J$5:J$24)</f>
        <v>0</v>
      </c>
      <c r="K108" s="120">
        <f>SUMIF('Закупки сырья'!$A$90:$A$283,$B108,'Закупки сырья'!$F$90:$F$283)*SUMIF($B$5:$B$24,$B108,K$5:K$24)</f>
        <v>0</v>
      </c>
      <c r="L108" s="120">
        <f>SUMIF('Закупки сырья'!$A$90:$A$283,$B108,'Закупки сырья'!$F$90:$F$283)*SUMIF($B$5:$B$24,$B108,L$5:L$24)</f>
        <v>0</v>
      </c>
      <c r="M108" s="120">
        <f>SUMIF('Закупки сырья'!$A$90:$A$283,$B108,'Закупки сырья'!$F$90:$F$283)*SUMIF($B$5:$B$24,$B108,M$5:M$24)</f>
        <v>0</v>
      </c>
      <c r="N108" s="120">
        <f>SUMIF('Закупки сырья'!$A$90:$A$283,$B108,'Закупки сырья'!$F$90:$F$283)*SUMIF($B$5:$B$24,$B108,N$5:N$24)</f>
        <v>0</v>
      </c>
      <c r="O108" s="194">
        <f t="shared" si="44"/>
        <v>0</v>
      </c>
    </row>
    <row r="109" spans="1:15" ht="10.5">
      <c r="A109" s="99" t="s">
        <v>257</v>
      </c>
      <c r="B109" s="119" t="str">
        <f>VLOOKUP(A109,Классификаторы!$A:$B,2,FALSE)</f>
        <v>Продукт 8</v>
      </c>
      <c r="C109" s="120">
        <f>SUMIF('Закупки сырья'!$A$90:$A$283,$B109,'Закупки сырья'!$F$90:$F$283)*SUMIF($B$5:$B$24,$B109,C$5:C$24)</f>
        <v>0</v>
      </c>
      <c r="D109" s="120">
        <f>SUMIF('Закупки сырья'!$A$90:$A$283,$B109,'Закупки сырья'!$F$90:$F$283)*SUMIF($B$5:$B$24,$B109,D$5:D$24)</f>
        <v>0</v>
      </c>
      <c r="E109" s="120">
        <f>SUMIF('Закупки сырья'!$A$90:$A$283,$B109,'Закупки сырья'!$F$90:$F$283)*SUMIF($B$5:$B$24,$B109,E$5:E$24)</f>
        <v>0</v>
      </c>
      <c r="F109" s="120">
        <f>SUMIF('Закупки сырья'!$A$90:$A$283,$B109,'Закупки сырья'!$F$90:$F$283)*SUMIF($B$5:$B$24,$B109,F$5:F$24)</f>
        <v>0</v>
      </c>
      <c r="G109" s="120">
        <f>SUMIF('Закупки сырья'!$A$90:$A$283,$B109,'Закупки сырья'!$F$90:$F$283)*SUMIF($B$5:$B$24,$B109,G$5:G$24)</f>
        <v>0</v>
      </c>
      <c r="H109" s="120">
        <f>SUMIF('Закупки сырья'!$A$90:$A$283,$B109,'Закупки сырья'!$F$90:$F$283)*SUMIF($B$5:$B$24,$B109,H$5:H$24)</f>
        <v>0</v>
      </c>
      <c r="I109" s="120">
        <f>SUMIF('Закупки сырья'!$A$90:$A$283,$B109,'Закупки сырья'!$F$90:$F$283)*SUMIF($B$5:$B$24,$B109,I$5:I$24)</f>
        <v>0</v>
      </c>
      <c r="J109" s="120">
        <f>SUMIF('Закупки сырья'!$A$90:$A$283,$B109,'Закупки сырья'!$F$90:$F$283)*SUMIF($B$5:$B$24,$B109,J$5:J$24)</f>
        <v>0</v>
      </c>
      <c r="K109" s="120">
        <f>SUMIF('Закупки сырья'!$A$90:$A$283,$B109,'Закупки сырья'!$F$90:$F$283)*SUMIF($B$5:$B$24,$B109,K$5:K$24)</f>
        <v>0</v>
      </c>
      <c r="L109" s="120">
        <f>SUMIF('Закупки сырья'!$A$90:$A$283,$B109,'Закупки сырья'!$F$90:$F$283)*SUMIF($B$5:$B$24,$B109,L$5:L$24)</f>
        <v>0</v>
      </c>
      <c r="M109" s="120">
        <f>SUMIF('Закупки сырья'!$A$90:$A$283,$B109,'Закупки сырья'!$F$90:$F$283)*SUMIF($B$5:$B$24,$B109,M$5:M$24)</f>
        <v>0</v>
      </c>
      <c r="N109" s="120">
        <f>SUMIF('Закупки сырья'!$A$90:$A$283,$B109,'Закупки сырья'!$F$90:$F$283)*SUMIF($B$5:$B$24,$B109,N$5:N$24)</f>
        <v>0</v>
      </c>
      <c r="O109" s="194">
        <f t="shared" si="44"/>
        <v>0</v>
      </c>
    </row>
    <row r="110" spans="1:15" ht="10.5">
      <c r="A110" s="99" t="s">
        <v>258</v>
      </c>
      <c r="B110" s="119" t="str">
        <f>VLOOKUP(A110,Классификаторы!$A:$B,2,FALSE)</f>
        <v>Продукт 9</v>
      </c>
      <c r="C110" s="120">
        <f>SUMIF('Закупки сырья'!$A$90:$A$283,$B110,'Закупки сырья'!$F$90:$F$283)*SUMIF($B$5:$B$24,$B110,C$5:C$24)</f>
        <v>0</v>
      </c>
      <c r="D110" s="120">
        <f>SUMIF('Закупки сырья'!$A$90:$A$283,$B110,'Закупки сырья'!$F$90:$F$283)*SUMIF($B$5:$B$24,$B110,D$5:D$24)</f>
        <v>0</v>
      </c>
      <c r="E110" s="120">
        <f>SUMIF('Закупки сырья'!$A$90:$A$283,$B110,'Закупки сырья'!$F$90:$F$283)*SUMIF($B$5:$B$24,$B110,E$5:E$24)</f>
        <v>0</v>
      </c>
      <c r="F110" s="120">
        <f>SUMIF('Закупки сырья'!$A$90:$A$283,$B110,'Закупки сырья'!$F$90:$F$283)*SUMIF($B$5:$B$24,$B110,F$5:F$24)</f>
        <v>0</v>
      </c>
      <c r="G110" s="120">
        <f>SUMIF('Закупки сырья'!$A$90:$A$283,$B110,'Закупки сырья'!$F$90:$F$283)*SUMIF($B$5:$B$24,$B110,G$5:G$24)</f>
        <v>0</v>
      </c>
      <c r="H110" s="120">
        <f>SUMIF('Закупки сырья'!$A$90:$A$283,$B110,'Закупки сырья'!$F$90:$F$283)*SUMIF($B$5:$B$24,$B110,H$5:H$24)</f>
        <v>0</v>
      </c>
      <c r="I110" s="120">
        <f>SUMIF('Закупки сырья'!$A$90:$A$283,$B110,'Закупки сырья'!$F$90:$F$283)*SUMIF($B$5:$B$24,$B110,I$5:I$24)</f>
        <v>0</v>
      </c>
      <c r="J110" s="120">
        <f>SUMIF('Закупки сырья'!$A$90:$A$283,$B110,'Закупки сырья'!$F$90:$F$283)*SUMIF($B$5:$B$24,$B110,J$5:J$24)</f>
        <v>0</v>
      </c>
      <c r="K110" s="120">
        <f>SUMIF('Закупки сырья'!$A$90:$A$283,$B110,'Закупки сырья'!$F$90:$F$283)*SUMIF($B$5:$B$24,$B110,K$5:K$24)</f>
        <v>0</v>
      </c>
      <c r="L110" s="120">
        <f>SUMIF('Закупки сырья'!$A$90:$A$283,$B110,'Закупки сырья'!$F$90:$F$283)*SUMIF($B$5:$B$24,$B110,L$5:L$24)</f>
        <v>0</v>
      </c>
      <c r="M110" s="120">
        <f>SUMIF('Закупки сырья'!$A$90:$A$283,$B110,'Закупки сырья'!$F$90:$F$283)*SUMIF($B$5:$B$24,$B110,M$5:M$24)</f>
        <v>0</v>
      </c>
      <c r="N110" s="120">
        <f>SUMIF('Закупки сырья'!$A$90:$A$283,$B110,'Закупки сырья'!$F$90:$F$283)*SUMIF($B$5:$B$24,$B110,N$5:N$24)</f>
        <v>0</v>
      </c>
      <c r="O110" s="194">
        <f t="shared" si="44"/>
        <v>0</v>
      </c>
    </row>
    <row r="111" spans="1:15" ht="10.5">
      <c r="A111" s="99" t="s">
        <v>259</v>
      </c>
      <c r="B111" s="119" t="str">
        <f>VLOOKUP(A111,Классификаторы!$A:$B,2,FALSE)</f>
        <v>Продукт 10</v>
      </c>
      <c r="C111" s="120">
        <f>SUMIF('Закупки сырья'!$A$90:$A$283,$B111,'Закупки сырья'!$F$90:$F$283)*SUMIF($B$5:$B$24,$B111,C$5:C$24)</f>
        <v>0</v>
      </c>
      <c r="D111" s="120">
        <f>SUMIF('Закупки сырья'!$A$90:$A$283,$B111,'Закупки сырья'!$F$90:$F$283)*SUMIF($B$5:$B$24,$B111,D$5:D$24)</f>
        <v>0</v>
      </c>
      <c r="E111" s="120">
        <f>SUMIF('Закупки сырья'!$A$90:$A$283,$B111,'Закупки сырья'!$F$90:$F$283)*SUMIF($B$5:$B$24,$B111,E$5:E$24)</f>
        <v>0</v>
      </c>
      <c r="F111" s="120">
        <f>SUMIF('Закупки сырья'!$A$90:$A$283,$B111,'Закупки сырья'!$F$90:$F$283)*SUMIF($B$5:$B$24,$B111,F$5:F$24)</f>
        <v>0</v>
      </c>
      <c r="G111" s="120">
        <f>SUMIF('Закупки сырья'!$A$90:$A$283,$B111,'Закупки сырья'!$F$90:$F$283)*SUMIF($B$5:$B$24,$B111,G$5:G$24)</f>
        <v>0</v>
      </c>
      <c r="H111" s="120">
        <f>SUMIF('Закупки сырья'!$A$90:$A$283,$B111,'Закупки сырья'!$F$90:$F$283)*SUMIF($B$5:$B$24,$B111,H$5:H$24)</f>
        <v>0</v>
      </c>
      <c r="I111" s="120">
        <f>SUMIF('Закупки сырья'!$A$90:$A$283,$B111,'Закупки сырья'!$F$90:$F$283)*SUMIF($B$5:$B$24,$B111,I$5:I$24)</f>
        <v>0</v>
      </c>
      <c r="J111" s="120">
        <f>SUMIF('Закупки сырья'!$A$90:$A$283,$B111,'Закупки сырья'!$F$90:$F$283)*SUMIF($B$5:$B$24,$B111,J$5:J$24)</f>
        <v>0</v>
      </c>
      <c r="K111" s="120">
        <f>SUMIF('Закупки сырья'!$A$90:$A$283,$B111,'Закупки сырья'!$F$90:$F$283)*SUMIF($B$5:$B$24,$B111,K$5:K$24)</f>
        <v>0</v>
      </c>
      <c r="L111" s="120">
        <f>SUMIF('Закупки сырья'!$A$90:$A$283,$B111,'Закупки сырья'!$F$90:$F$283)*SUMIF($B$5:$B$24,$B111,L$5:L$24)</f>
        <v>0</v>
      </c>
      <c r="M111" s="120">
        <f>SUMIF('Закупки сырья'!$A$90:$A$283,$B111,'Закупки сырья'!$F$90:$F$283)*SUMIF($B$5:$B$24,$B111,M$5:M$24)</f>
        <v>0</v>
      </c>
      <c r="N111" s="120">
        <f>SUMIF('Закупки сырья'!$A$90:$A$283,$B111,'Закупки сырья'!$F$90:$F$283)*SUMIF($B$5:$B$24,$B111,N$5:N$24)</f>
        <v>0</v>
      </c>
      <c r="O111" s="194">
        <f t="shared" si="44"/>
        <v>0</v>
      </c>
    </row>
    <row r="112" spans="1:15" ht="10.5">
      <c r="A112" s="99" t="s">
        <v>264</v>
      </c>
      <c r="B112" s="119" t="str">
        <f>VLOOKUP(A112,Классификаторы!$A:$B,2,FALSE)</f>
        <v>Продукт 11</v>
      </c>
      <c r="C112" s="120">
        <f>SUMIF('Закупки сырья'!$A$90:$A$283,$B112,'Закупки сырья'!$F$90:$F$283)*SUMIF($B$5:$B$24,$B112,C$5:C$24)</f>
        <v>0</v>
      </c>
      <c r="D112" s="120">
        <f>SUMIF('Закупки сырья'!$A$90:$A$283,$B112,'Закупки сырья'!$F$90:$F$283)*SUMIF($B$5:$B$24,$B112,D$5:D$24)</f>
        <v>0</v>
      </c>
      <c r="E112" s="120">
        <f>SUMIF('Закупки сырья'!$A$90:$A$283,$B112,'Закупки сырья'!$F$90:$F$283)*SUMIF($B$5:$B$24,$B112,E$5:E$24)</f>
        <v>0</v>
      </c>
      <c r="F112" s="120">
        <f>SUMIF('Закупки сырья'!$A$90:$A$283,$B112,'Закупки сырья'!$F$90:$F$283)*SUMIF($B$5:$B$24,$B112,F$5:F$24)</f>
        <v>0</v>
      </c>
      <c r="G112" s="120">
        <f>SUMIF('Закупки сырья'!$A$90:$A$283,$B112,'Закупки сырья'!$F$90:$F$283)*SUMIF($B$5:$B$24,$B112,G$5:G$24)</f>
        <v>0</v>
      </c>
      <c r="H112" s="120">
        <f>SUMIF('Закупки сырья'!$A$90:$A$283,$B112,'Закупки сырья'!$F$90:$F$283)*SUMIF($B$5:$B$24,$B112,H$5:H$24)</f>
        <v>0</v>
      </c>
      <c r="I112" s="120">
        <f>SUMIF('Закупки сырья'!$A$90:$A$283,$B112,'Закупки сырья'!$F$90:$F$283)*SUMIF($B$5:$B$24,$B112,I$5:I$24)</f>
        <v>0</v>
      </c>
      <c r="J112" s="120">
        <f>SUMIF('Закупки сырья'!$A$90:$A$283,$B112,'Закупки сырья'!$F$90:$F$283)*SUMIF($B$5:$B$24,$B112,J$5:J$24)</f>
        <v>0</v>
      </c>
      <c r="K112" s="120">
        <f>SUMIF('Закупки сырья'!$A$90:$A$283,$B112,'Закупки сырья'!$F$90:$F$283)*SUMIF($B$5:$B$24,$B112,K$5:K$24)</f>
        <v>0</v>
      </c>
      <c r="L112" s="120">
        <f>SUMIF('Закупки сырья'!$A$90:$A$283,$B112,'Закупки сырья'!$F$90:$F$283)*SUMIF($B$5:$B$24,$B112,L$5:L$24)</f>
        <v>0</v>
      </c>
      <c r="M112" s="120">
        <f>SUMIF('Закупки сырья'!$A$90:$A$283,$B112,'Закупки сырья'!$F$90:$F$283)*SUMIF($B$5:$B$24,$B112,M$5:M$24)</f>
        <v>0</v>
      </c>
      <c r="N112" s="120">
        <f>SUMIF('Закупки сырья'!$A$90:$A$283,$B112,'Закупки сырья'!$F$90:$F$283)*SUMIF($B$5:$B$24,$B112,N$5:N$24)</f>
        <v>0</v>
      </c>
      <c r="O112" s="194">
        <f t="shared" si="44"/>
        <v>0</v>
      </c>
    </row>
    <row r="113" spans="1:15" ht="10.5">
      <c r="A113" s="99" t="s">
        <v>265</v>
      </c>
      <c r="B113" s="119" t="str">
        <f>VLOOKUP(A113,Классификаторы!$A:$B,2,FALSE)</f>
        <v>Продукт 12</v>
      </c>
      <c r="C113" s="120">
        <f>SUMIF('Закупки сырья'!$A$90:$A$283,$B113,'Закупки сырья'!$F$90:$F$283)*SUMIF($B$5:$B$24,$B113,C$5:C$24)</f>
        <v>0</v>
      </c>
      <c r="D113" s="120">
        <f>SUMIF('Закупки сырья'!$A$90:$A$283,$B113,'Закупки сырья'!$F$90:$F$283)*SUMIF($B$5:$B$24,$B113,D$5:D$24)</f>
        <v>0</v>
      </c>
      <c r="E113" s="120">
        <f>SUMIF('Закупки сырья'!$A$90:$A$283,$B113,'Закупки сырья'!$F$90:$F$283)*SUMIF($B$5:$B$24,$B113,E$5:E$24)</f>
        <v>0</v>
      </c>
      <c r="F113" s="120">
        <f>SUMIF('Закупки сырья'!$A$90:$A$283,$B113,'Закупки сырья'!$F$90:$F$283)*SUMIF($B$5:$B$24,$B113,F$5:F$24)</f>
        <v>0</v>
      </c>
      <c r="G113" s="120">
        <f>SUMIF('Закупки сырья'!$A$90:$A$283,$B113,'Закупки сырья'!$F$90:$F$283)*SUMIF($B$5:$B$24,$B113,G$5:G$24)</f>
        <v>0</v>
      </c>
      <c r="H113" s="120">
        <f>SUMIF('Закупки сырья'!$A$90:$A$283,$B113,'Закупки сырья'!$F$90:$F$283)*SUMIF($B$5:$B$24,$B113,H$5:H$24)</f>
        <v>0</v>
      </c>
      <c r="I113" s="120">
        <f>SUMIF('Закупки сырья'!$A$90:$A$283,$B113,'Закупки сырья'!$F$90:$F$283)*SUMIF($B$5:$B$24,$B113,I$5:I$24)</f>
        <v>0</v>
      </c>
      <c r="J113" s="120">
        <f>SUMIF('Закупки сырья'!$A$90:$A$283,$B113,'Закупки сырья'!$F$90:$F$283)*SUMIF($B$5:$B$24,$B113,J$5:J$24)</f>
        <v>0</v>
      </c>
      <c r="K113" s="120">
        <f>SUMIF('Закупки сырья'!$A$90:$A$283,$B113,'Закупки сырья'!$F$90:$F$283)*SUMIF($B$5:$B$24,$B113,K$5:K$24)</f>
        <v>0</v>
      </c>
      <c r="L113" s="120">
        <f>SUMIF('Закупки сырья'!$A$90:$A$283,$B113,'Закупки сырья'!$F$90:$F$283)*SUMIF($B$5:$B$24,$B113,L$5:L$24)</f>
        <v>0</v>
      </c>
      <c r="M113" s="120">
        <f>SUMIF('Закупки сырья'!$A$90:$A$283,$B113,'Закупки сырья'!$F$90:$F$283)*SUMIF($B$5:$B$24,$B113,M$5:M$24)</f>
        <v>0</v>
      </c>
      <c r="N113" s="120">
        <f>SUMIF('Закупки сырья'!$A$90:$A$283,$B113,'Закупки сырья'!$F$90:$F$283)*SUMIF($B$5:$B$24,$B113,N$5:N$24)</f>
        <v>0</v>
      </c>
      <c r="O113" s="194">
        <f t="shared" si="44"/>
        <v>0</v>
      </c>
    </row>
    <row r="114" spans="1:15" ht="10.5">
      <c r="A114" s="99" t="s">
        <v>267</v>
      </c>
      <c r="B114" s="119" t="str">
        <f>VLOOKUP(A114,Классификаторы!$A:$B,2,FALSE)</f>
        <v>Продукт 13</v>
      </c>
      <c r="C114" s="120">
        <f>SUMIF('Закупки сырья'!$A$90:$A$283,$B114,'Закупки сырья'!$F$90:$F$283)*SUMIF($B$5:$B$24,$B114,C$5:C$24)</f>
        <v>0</v>
      </c>
      <c r="D114" s="120">
        <f>SUMIF('Закупки сырья'!$A$90:$A$283,$B114,'Закупки сырья'!$F$90:$F$283)*SUMIF($B$5:$B$24,$B114,D$5:D$24)</f>
        <v>0</v>
      </c>
      <c r="E114" s="120">
        <f>SUMIF('Закупки сырья'!$A$90:$A$283,$B114,'Закупки сырья'!$F$90:$F$283)*SUMIF($B$5:$B$24,$B114,E$5:E$24)</f>
        <v>0</v>
      </c>
      <c r="F114" s="120">
        <f>SUMIF('Закупки сырья'!$A$90:$A$283,$B114,'Закупки сырья'!$F$90:$F$283)*SUMIF($B$5:$B$24,$B114,F$5:F$24)</f>
        <v>0</v>
      </c>
      <c r="G114" s="120">
        <f>SUMIF('Закупки сырья'!$A$90:$A$283,$B114,'Закупки сырья'!$F$90:$F$283)*SUMIF($B$5:$B$24,$B114,G$5:G$24)</f>
        <v>0</v>
      </c>
      <c r="H114" s="120">
        <f>SUMIF('Закупки сырья'!$A$90:$A$283,$B114,'Закупки сырья'!$F$90:$F$283)*SUMIF($B$5:$B$24,$B114,H$5:H$24)</f>
        <v>0</v>
      </c>
      <c r="I114" s="120">
        <f>SUMIF('Закупки сырья'!$A$90:$A$283,$B114,'Закупки сырья'!$F$90:$F$283)*SUMIF($B$5:$B$24,$B114,I$5:I$24)</f>
        <v>0</v>
      </c>
      <c r="J114" s="120">
        <f>SUMIF('Закупки сырья'!$A$90:$A$283,$B114,'Закупки сырья'!$F$90:$F$283)*SUMIF($B$5:$B$24,$B114,J$5:J$24)</f>
        <v>0</v>
      </c>
      <c r="K114" s="120">
        <f>SUMIF('Закупки сырья'!$A$90:$A$283,$B114,'Закупки сырья'!$F$90:$F$283)*SUMIF($B$5:$B$24,$B114,K$5:K$24)</f>
        <v>0</v>
      </c>
      <c r="L114" s="120">
        <f>SUMIF('Закупки сырья'!$A$90:$A$283,$B114,'Закупки сырья'!$F$90:$F$283)*SUMIF($B$5:$B$24,$B114,L$5:L$24)</f>
        <v>0</v>
      </c>
      <c r="M114" s="120">
        <f>SUMIF('Закупки сырья'!$A$90:$A$283,$B114,'Закупки сырья'!$F$90:$F$283)*SUMIF($B$5:$B$24,$B114,M$5:M$24)</f>
        <v>0</v>
      </c>
      <c r="N114" s="120">
        <f>SUMIF('Закупки сырья'!$A$90:$A$283,$B114,'Закупки сырья'!$F$90:$F$283)*SUMIF($B$5:$B$24,$B114,N$5:N$24)</f>
        <v>0</v>
      </c>
      <c r="O114" s="194">
        <f t="shared" si="44"/>
        <v>0</v>
      </c>
    </row>
    <row r="115" spans="1:15" ht="10.5">
      <c r="A115" s="99" t="s">
        <v>268</v>
      </c>
      <c r="B115" s="119" t="str">
        <f>VLOOKUP(A115,Классификаторы!$A:$B,2,FALSE)</f>
        <v>Продукт 14</v>
      </c>
      <c r="C115" s="120">
        <f>SUMIF('Закупки сырья'!$A$90:$A$283,$B115,'Закупки сырья'!$F$90:$F$283)*SUMIF($B$5:$B$24,$B115,C$5:C$24)</f>
        <v>0</v>
      </c>
      <c r="D115" s="120">
        <f>SUMIF('Закупки сырья'!$A$90:$A$283,$B115,'Закупки сырья'!$F$90:$F$283)*SUMIF($B$5:$B$24,$B115,D$5:D$24)</f>
        <v>0</v>
      </c>
      <c r="E115" s="120">
        <f>SUMIF('Закупки сырья'!$A$90:$A$283,$B115,'Закупки сырья'!$F$90:$F$283)*SUMIF($B$5:$B$24,$B115,E$5:E$24)</f>
        <v>0</v>
      </c>
      <c r="F115" s="120">
        <f>SUMIF('Закупки сырья'!$A$90:$A$283,$B115,'Закупки сырья'!$F$90:$F$283)*SUMIF($B$5:$B$24,$B115,F$5:F$24)</f>
        <v>0</v>
      </c>
      <c r="G115" s="120">
        <f>SUMIF('Закупки сырья'!$A$90:$A$283,$B115,'Закупки сырья'!$F$90:$F$283)*SUMIF($B$5:$B$24,$B115,G$5:G$24)</f>
        <v>0</v>
      </c>
      <c r="H115" s="120">
        <f>SUMIF('Закупки сырья'!$A$90:$A$283,$B115,'Закупки сырья'!$F$90:$F$283)*SUMIF($B$5:$B$24,$B115,H$5:H$24)</f>
        <v>0</v>
      </c>
      <c r="I115" s="120">
        <f>SUMIF('Закупки сырья'!$A$90:$A$283,$B115,'Закупки сырья'!$F$90:$F$283)*SUMIF($B$5:$B$24,$B115,I$5:I$24)</f>
        <v>0</v>
      </c>
      <c r="J115" s="120">
        <f>SUMIF('Закупки сырья'!$A$90:$A$283,$B115,'Закупки сырья'!$F$90:$F$283)*SUMIF($B$5:$B$24,$B115,J$5:J$24)</f>
        <v>0</v>
      </c>
      <c r="K115" s="120">
        <f>SUMIF('Закупки сырья'!$A$90:$A$283,$B115,'Закупки сырья'!$F$90:$F$283)*SUMIF($B$5:$B$24,$B115,K$5:K$24)</f>
        <v>0</v>
      </c>
      <c r="L115" s="120">
        <f>SUMIF('Закупки сырья'!$A$90:$A$283,$B115,'Закупки сырья'!$F$90:$F$283)*SUMIF($B$5:$B$24,$B115,L$5:L$24)</f>
        <v>0</v>
      </c>
      <c r="M115" s="120">
        <f>SUMIF('Закупки сырья'!$A$90:$A$283,$B115,'Закупки сырья'!$F$90:$F$283)*SUMIF($B$5:$B$24,$B115,M$5:M$24)</f>
        <v>0</v>
      </c>
      <c r="N115" s="120">
        <f>SUMIF('Закупки сырья'!$A$90:$A$283,$B115,'Закупки сырья'!$F$90:$F$283)*SUMIF($B$5:$B$24,$B115,N$5:N$24)</f>
        <v>0</v>
      </c>
      <c r="O115" s="194">
        <f t="shared" si="44"/>
        <v>0</v>
      </c>
    </row>
    <row r="116" spans="1:15" ht="10.5">
      <c r="A116" s="99" t="s">
        <v>269</v>
      </c>
      <c r="B116" s="119" t="str">
        <f>VLOOKUP(A116,Классификаторы!$A:$B,2,FALSE)</f>
        <v>Продукт 15</v>
      </c>
      <c r="C116" s="120">
        <f>SUMIF('Закупки сырья'!$A$90:$A$283,$B116,'Закупки сырья'!$F$90:$F$283)*SUMIF($B$5:$B$24,$B116,C$5:C$24)</f>
        <v>0</v>
      </c>
      <c r="D116" s="120">
        <f>SUMIF('Закупки сырья'!$A$90:$A$283,$B116,'Закупки сырья'!$F$90:$F$283)*SUMIF($B$5:$B$24,$B116,D$5:D$24)</f>
        <v>0</v>
      </c>
      <c r="E116" s="120">
        <f>SUMIF('Закупки сырья'!$A$90:$A$283,$B116,'Закупки сырья'!$F$90:$F$283)*SUMIF($B$5:$B$24,$B116,E$5:E$24)</f>
        <v>0</v>
      </c>
      <c r="F116" s="120">
        <f>SUMIF('Закупки сырья'!$A$90:$A$283,$B116,'Закупки сырья'!$F$90:$F$283)*SUMIF($B$5:$B$24,$B116,F$5:F$24)</f>
        <v>0</v>
      </c>
      <c r="G116" s="120">
        <f>SUMIF('Закупки сырья'!$A$90:$A$283,$B116,'Закупки сырья'!$F$90:$F$283)*SUMIF($B$5:$B$24,$B116,G$5:G$24)</f>
        <v>0</v>
      </c>
      <c r="H116" s="120">
        <f>SUMIF('Закупки сырья'!$A$90:$A$283,$B116,'Закупки сырья'!$F$90:$F$283)*SUMIF($B$5:$B$24,$B116,H$5:H$24)</f>
        <v>0</v>
      </c>
      <c r="I116" s="120">
        <f>SUMIF('Закупки сырья'!$A$90:$A$283,$B116,'Закупки сырья'!$F$90:$F$283)*SUMIF($B$5:$B$24,$B116,I$5:I$24)</f>
        <v>0</v>
      </c>
      <c r="J116" s="120">
        <f>SUMIF('Закупки сырья'!$A$90:$A$283,$B116,'Закупки сырья'!$F$90:$F$283)*SUMIF($B$5:$B$24,$B116,J$5:J$24)</f>
        <v>0</v>
      </c>
      <c r="K116" s="120">
        <f>SUMIF('Закупки сырья'!$A$90:$A$283,$B116,'Закупки сырья'!$F$90:$F$283)*SUMIF($B$5:$B$24,$B116,K$5:K$24)</f>
        <v>0</v>
      </c>
      <c r="L116" s="120">
        <f>SUMIF('Закупки сырья'!$A$90:$A$283,$B116,'Закупки сырья'!$F$90:$F$283)*SUMIF($B$5:$B$24,$B116,L$5:L$24)</f>
        <v>0</v>
      </c>
      <c r="M116" s="120">
        <f>SUMIF('Закупки сырья'!$A$90:$A$283,$B116,'Закупки сырья'!$F$90:$F$283)*SUMIF($B$5:$B$24,$B116,M$5:M$24)</f>
        <v>0</v>
      </c>
      <c r="N116" s="120">
        <f>SUMIF('Закупки сырья'!$A$90:$A$283,$B116,'Закупки сырья'!$F$90:$F$283)*SUMIF($B$5:$B$24,$B116,N$5:N$24)</f>
        <v>0</v>
      </c>
      <c r="O116" s="194">
        <f t="shared" si="44"/>
        <v>0</v>
      </c>
    </row>
    <row r="117" spans="1:15" ht="10.5">
      <c r="A117" s="328" t="s">
        <v>64</v>
      </c>
      <c r="B117" s="329"/>
      <c r="C117" s="330" t="s">
        <v>342</v>
      </c>
      <c r="D117" s="330" t="s">
        <v>342</v>
      </c>
      <c r="E117" s="330" t="s">
        <v>342</v>
      </c>
      <c r="F117" s="330" t="s">
        <v>342</v>
      </c>
      <c r="G117" s="330" t="s">
        <v>342</v>
      </c>
      <c r="H117" s="330" t="s">
        <v>342</v>
      </c>
      <c r="I117" s="330" t="s">
        <v>342</v>
      </c>
      <c r="J117" s="330" t="s">
        <v>342</v>
      </c>
      <c r="K117" s="330" t="s">
        <v>342</v>
      </c>
      <c r="L117" s="330" t="s">
        <v>342</v>
      </c>
      <c r="M117" s="330" t="s">
        <v>342</v>
      </c>
      <c r="N117" s="331" t="s">
        <v>342</v>
      </c>
      <c r="O117" s="332" t="s">
        <v>342</v>
      </c>
    </row>
    <row r="118" spans="1:15" ht="10.5">
      <c r="A118" s="364"/>
      <c r="B118" s="89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65"/>
      <c r="O118" s="361"/>
    </row>
    <row r="119" spans="1:15" s="34" customFormat="1" ht="10.5">
      <c r="A119" s="321" t="s">
        <v>163</v>
      </c>
      <c r="B119" s="365"/>
      <c r="C119" s="308">
        <f>SUM(C102:C118)</f>
        <v>0</v>
      </c>
      <c r="D119" s="308">
        <f aca="true" t="shared" si="45" ref="D119:O119">SUM(D102:D118)</f>
        <v>0</v>
      </c>
      <c r="E119" s="308">
        <f t="shared" si="45"/>
        <v>0</v>
      </c>
      <c r="F119" s="308">
        <f t="shared" si="45"/>
        <v>0</v>
      </c>
      <c r="G119" s="308">
        <f t="shared" si="45"/>
        <v>0</v>
      </c>
      <c r="H119" s="308">
        <f t="shared" si="45"/>
        <v>0</v>
      </c>
      <c r="I119" s="308">
        <f t="shared" si="45"/>
        <v>0</v>
      </c>
      <c r="J119" s="308">
        <f t="shared" si="45"/>
        <v>0</v>
      </c>
      <c r="K119" s="308">
        <f t="shared" si="45"/>
        <v>0</v>
      </c>
      <c r="L119" s="308">
        <f t="shared" si="45"/>
        <v>0</v>
      </c>
      <c r="M119" s="308">
        <f t="shared" si="45"/>
        <v>0</v>
      </c>
      <c r="N119" s="309">
        <f t="shared" si="45"/>
        <v>0</v>
      </c>
      <c r="O119" s="140">
        <f t="shared" si="45"/>
        <v>0</v>
      </c>
    </row>
  </sheetData>
  <printOptions/>
  <pageMargins left="0.75" right="0.75" top="0.74" bottom="1.29" header="0.5" footer="0.5"/>
  <pageSetup horizontalDpi="300" verticalDpi="300" orientation="landscape" paperSize="9" scale="71" r:id="rId2"/>
  <headerFooter alignWithMargins="0">
    <oddHeader>&amp;LФинансовая бюджетная модель (производство)</oddHeader>
    <oddFooter>&amp;LСтраница &amp;P&amp;C&amp;G</oddFooter>
  </headerFooter>
  <rowBreaks count="2" manualBreakCount="2">
    <brk id="43" max="255" man="1"/>
    <brk id="84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F96"/>
  <sheetViews>
    <sheetView view="pageBreakPreview" zoomScaleSheetLayoutView="100" workbookViewId="0" topLeftCell="A1">
      <pane ySplit="1" topLeftCell="BM7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7" customWidth="1"/>
    <col min="2" max="2" width="18.125" style="27" customWidth="1"/>
    <col min="3" max="3" width="14.00390625" style="27" customWidth="1"/>
    <col min="4" max="4" width="12.875" style="27" customWidth="1"/>
    <col min="5" max="15" width="9.125" style="27" customWidth="1"/>
    <col min="16" max="16" width="10.75390625" style="27" customWidth="1"/>
    <col min="17" max="31" width="9.125" style="27" customWidth="1"/>
    <col min="32" max="32" width="9.875" style="27" customWidth="1"/>
    <col min="33" max="16384" width="9.125" style="27" customWidth="1"/>
  </cols>
  <sheetData>
    <row r="1" spans="1:16" ht="18">
      <c r="A1" s="608"/>
      <c r="D1" s="96" t="s">
        <v>81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79"/>
    </row>
    <row r="2" spans="1:16" ht="10.5">
      <c r="A2" s="3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79"/>
    </row>
    <row r="3" spans="1:16" ht="13.5" thickBot="1">
      <c r="A3" s="77" t="s">
        <v>346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79"/>
    </row>
    <row r="4" spans="1:16" ht="10.5">
      <c r="A4" s="121" t="s">
        <v>68</v>
      </c>
      <c r="B4" s="122" t="s">
        <v>69</v>
      </c>
      <c r="C4" s="122"/>
      <c r="D4" s="123">
        <v>39448</v>
      </c>
      <c r="E4" s="123">
        <v>39480</v>
      </c>
      <c r="F4" s="123">
        <v>39512</v>
      </c>
      <c r="G4" s="123">
        <v>39544</v>
      </c>
      <c r="H4" s="123">
        <v>39576</v>
      </c>
      <c r="I4" s="123">
        <v>39608</v>
      </c>
      <c r="J4" s="123">
        <v>39640</v>
      </c>
      <c r="K4" s="123">
        <v>39672</v>
      </c>
      <c r="L4" s="123">
        <v>39704</v>
      </c>
      <c r="M4" s="123">
        <v>39736</v>
      </c>
      <c r="N4" s="123">
        <v>39768</v>
      </c>
      <c r="O4" s="123">
        <v>39800</v>
      </c>
      <c r="P4" s="124" t="s">
        <v>67</v>
      </c>
    </row>
    <row r="5" spans="1:16" ht="10.5">
      <c r="A5" s="125" t="s">
        <v>250</v>
      </c>
      <c r="B5" s="126" t="str">
        <f>VLOOKUP(A5,Классификаторы!$A:$B,2,FALSE)</f>
        <v>Продукт 1</v>
      </c>
      <c r="C5" s="395" t="s">
        <v>82</v>
      </c>
      <c r="D5" s="128">
        <f>SUMIF(Продажи!$A$5:$A$24,$A5,Продажи!C$5:C$24)</f>
        <v>0</v>
      </c>
      <c r="E5" s="128">
        <f>SUMIF(Продажи!$A$5:$A$24,$A5,Продажи!D$5:D$24)</f>
        <v>0</v>
      </c>
      <c r="F5" s="128">
        <f>SUMIF(Продажи!$A$5:$A$24,$A5,Продажи!E$5:E$24)</f>
        <v>0</v>
      </c>
      <c r="G5" s="128">
        <f>SUMIF(Продажи!$A$5:$A$24,$A5,Продажи!F$5:F$24)</f>
        <v>0</v>
      </c>
      <c r="H5" s="128">
        <f>SUMIF(Продажи!$A$5:$A$24,$A5,Продажи!G$5:G$24)</f>
        <v>0</v>
      </c>
      <c r="I5" s="128">
        <f>SUMIF(Продажи!$A$5:$A$24,$A5,Продажи!H$5:H$24)</f>
        <v>0</v>
      </c>
      <c r="J5" s="128">
        <f>SUMIF(Продажи!$A$5:$A$24,$A5,Продажи!I$5:I$24)</f>
        <v>0</v>
      </c>
      <c r="K5" s="128">
        <f>SUMIF(Продажи!$A$5:$A$24,$A5,Продажи!J$5:J$24)</f>
        <v>0</v>
      </c>
      <c r="L5" s="128">
        <f>SUMIF(Продажи!$A$5:$A$24,$A5,Продажи!K$5:K$24)</f>
        <v>0</v>
      </c>
      <c r="M5" s="128">
        <f>SUMIF(Продажи!$A$5:$A$24,$A5,Продажи!L$5:L$24)</f>
        <v>0</v>
      </c>
      <c r="N5" s="128">
        <f>SUMIF(Продажи!$A$5:$A$24,$A5,Продажи!M$5:M$24)</f>
        <v>0</v>
      </c>
      <c r="O5" s="128">
        <f>SUMIF(Продажи!$A$5:$A$24,$A5,Продажи!N$5:N$24)</f>
        <v>0</v>
      </c>
      <c r="P5" s="84">
        <f>SUM(D5:O5)</f>
        <v>0</v>
      </c>
    </row>
    <row r="6" spans="1:18" ht="10.5">
      <c r="A6" s="129"/>
      <c r="B6" s="130"/>
      <c r="C6" s="389" t="s">
        <v>83</v>
      </c>
      <c r="D6" s="132"/>
      <c r="E6" s="83">
        <f>D7</f>
        <v>0</v>
      </c>
      <c r="F6" s="83">
        <f aca="true" t="shared" si="0" ref="F6:O6">E7</f>
        <v>0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83">
        <f t="shared" si="0"/>
        <v>0</v>
      </c>
      <c r="K6" s="83">
        <f t="shared" si="0"/>
        <v>0</v>
      </c>
      <c r="L6" s="83">
        <f t="shared" si="0"/>
        <v>0</v>
      </c>
      <c r="M6" s="83">
        <f t="shared" si="0"/>
        <v>0</v>
      </c>
      <c r="N6" s="83">
        <f t="shared" si="0"/>
        <v>0</v>
      </c>
      <c r="O6" s="83">
        <f t="shared" si="0"/>
        <v>0</v>
      </c>
      <c r="P6" s="133"/>
      <c r="R6" s="134" t="str">
        <f>Q7</f>
        <v>ГП_111</v>
      </c>
    </row>
    <row r="7" spans="1:17" ht="10.5">
      <c r="A7" s="129"/>
      <c r="B7" s="130"/>
      <c r="C7" s="389" t="s">
        <v>84</v>
      </c>
      <c r="D7" s="83">
        <f>Оборачиваемость!C$10/30*'Объем пр-ва'!E5</f>
        <v>0</v>
      </c>
      <c r="E7" s="83">
        <f>Оборачиваемость!D$10/30*'Объем пр-ва'!F5</f>
        <v>0</v>
      </c>
      <c r="F7" s="83">
        <f>Оборачиваемость!E$10/30*'Объем пр-ва'!G5</f>
        <v>0</v>
      </c>
      <c r="G7" s="83">
        <f>Оборачиваемость!F$10/30*'Объем пр-ва'!H5</f>
        <v>0</v>
      </c>
      <c r="H7" s="83">
        <f>Оборачиваемость!G$10/30*'Объем пр-ва'!I5</f>
        <v>0</v>
      </c>
      <c r="I7" s="83">
        <f>Оборачиваемость!H$10/30*'Объем пр-ва'!J5</f>
        <v>0</v>
      </c>
      <c r="J7" s="83">
        <f>Оборачиваемость!I$10/30*'Объем пр-ва'!K5</f>
        <v>0</v>
      </c>
      <c r="K7" s="83">
        <f>Оборачиваемость!J$10/30*'Объем пр-ва'!L5</f>
        <v>0</v>
      </c>
      <c r="L7" s="83">
        <f>Оборачиваемость!K$10/30*'Объем пр-ва'!M5</f>
        <v>0</v>
      </c>
      <c r="M7" s="83">
        <f>Оборачиваемость!L$10/30*'Объем пр-ва'!N5</f>
        <v>0</v>
      </c>
      <c r="N7" s="83">
        <f>Оборачиваемость!M$10/30*'Объем пр-ва'!O5</f>
        <v>0</v>
      </c>
      <c r="O7" s="135">
        <f>N7</f>
        <v>0</v>
      </c>
      <c r="P7" s="133"/>
      <c r="Q7" s="134" t="str">
        <f>A5</f>
        <v>ГП_111</v>
      </c>
    </row>
    <row r="8" spans="1:16" ht="10.5">
      <c r="A8" s="136"/>
      <c r="B8" s="137" t="str">
        <f>A5</f>
        <v>ГП_111</v>
      </c>
      <c r="C8" s="396" t="s">
        <v>85</v>
      </c>
      <c r="D8" s="139">
        <f>D5-D6+D7</f>
        <v>0</v>
      </c>
      <c r="E8" s="139">
        <f aca="true" t="shared" si="1" ref="E8:O8">E5-E6+E7</f>
        <v>0</v>
      </c>
      <c r="F8" s="139">
        <f t="shared" si="1"/>
        <v>0</v>
      </c>
      <c r="G8" s="139">
        <f t="shared" si="1"/>
        <v>0</v>
      </c>
      <c r="H8" s="139">
        <f t="shared" si="1"/>
        <v>0</v>
      </c>
      <c r="I8" s="139">
        <f t="shared" si="1"/>
        <v>0</v>
      </c>
      <c r="J8" s="139">
        <f t="shared" si="1"/>
        <v>0</v>
      </c>
      <c r="K8" s="139">
        <f t="shared" si="1"/>
        <v>0</v>
      </c>
      <c r="L8" s="139">
        <f t="shared" si="1"/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40">
        <f>SUM(D8:O8)</f>
        <v>0</v>
      </c>
    </row>
    <row r="9" spans="1:16" ht="10.5">
      <c r="A9" s="125" t="s">
        <v>251</v>
      </c>
      <c r="B9" s="126" t="str">
        <f>VLOOKUP(A9,Классификаторы!$A:$B,2,FALSE)</f>
        <v>Продукт 2</v>
      </c>
      <c r="C9" s="395" t="s">
        <v>82</v>
      </c>
      <c r="D9" s="128">
        <f>SUMIF(Продажи!$A$5:$A$24,$A9,Продажи!C$5:C$24)</f>
        <v>0</v>
      </c>
      <c r="E9" s="128">
        <f>SUMIF(Продажи!$A$5:$A$24,$A9,Продажи!D$5:D$24)</f>
        <v>0</v>
      </c>
      <c r="F9" s="128">
        <f>SUMIF(Продажи!$A$5:$A$24,$A9,Продажи!E$5:E$24)</f>
        <v>0</v>
      </c>
      <c r="G9" s="128">
        <f>SUMIF(Продажи!$A$5:$A$24,$A9,Продажи!F$5:F$24)</f>
        <v>0</v>
      </c>
      <c r="H9" s="128">
        <f>SUMIF(Продажи!$A$5:$A$24,$A9,Продажи!G$5:G$24)</f>
        <v>0</v>
      </c>
      <c r="I9" s="128">
        <f>SUMIF(Продажи!$A$5:$A$24,$A9,Продажи!H$5:H$24)</f>
        <v>0</v>
      </c>
      <c r="J9" s="128">
        <f>SUMIF(Продажи!$A$5:$A$24,$A9,Продажи!I$5:I$24)</f>
        <v>0</v>
      </c>
      <c r="K9" s="128">
        <f>SUMIF(Продажи!$A$5:$A$24,$A9,Продажи!J$5:J$24)</f>
        <v>0</v>
      </c>
      <c r="L9" s="128">
        <f>SUMIF(Продажи!$A$5:$A$24,$A9,Продажи!K$5:K$24)</f>
        <v>0</v>
      </c>
      <c r="M9" s="128">
        <f>SUMIF(Продажи!$A$5:$A$24,$A9,Продажи!L$5:L$24)</f>
        <v>0</v>
      </c>
      <c r="N9" s="128">
        <f>SUMIF(Продажи!$A$5:$A$24,$A9,Продажи!M$5:M$24)</f>
        <v>0</v>
      </c>
      <c r="O9" s="128">
        <f>SUMIF(Продажи!$A$5:$A$24,$A9,Продажи!N$5:N$24)</f>
        <v>0</v>
      </c>
      <c r="P9" s="84">
        <f>SUM(D9:O9)</f>
        <v>0</v>
      </c>
    </row>
    <row r="10" spans="1:18" ht="10.5">
      <c r="A10" s="129"/>
      <c r="B10" s="130"/>
      <c r="C10" s="389" t="s">
        <v>83</v>
      </c>
      <c r="D10" s="132"/>
      <c r="E10" s="83">
        <f>D11</f>
        <v>0</v>
      </c>
      <c r="F10" s="83">
        <f aca="true" t="shared" si="2" ref="F10:O10">E11</f>
        <v>0</v>
      </c>
      <c r="G10" s="83">
        <f t="shared" si="2"/>
        <v>0</v>
      </c>
      <c r="H10" s="83">
        <f t="shared" si="2"/>
        <v>0</v>
      </c>
      <c r="I10" s="83">
        <f t="shared" si="2"/>
        <v>0</v>
      </c>
      <c r="J10" s="83">
        <f t="shared" si="2"/>
        <v>0</v>
      </c>
      <c r="K10" s="83">
        <f t="shared" si="2"/>
        <v>0</v>
      </c>
      <c r="L10" s="83">
        <f t="shared" si="2"/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133"/>
      <c r="R10" s="134" t="str">
        <f>Q11</f>
        <v>ГП_112</v>
      </c>
    </row>
    <row r="11" spans="1:17" ht="10.5">
      <c r="A11" s="129"/>
      <c r="B11" s="130"/>
      <c r="C11" s="389" t="s">
        <v>84</v>
      </c>
      <c r="D11" s="83">
        <f>Оборачиваемость!C$10/30*'Объем пр-ва'!E9</f>
        <v>0</v>
      </c>
      <c r="E11" s="83">
        <f>Оборачиваемость!D$10/30*'Объем пр-ва'!F9</f>
        <v>0</v>
      </c>
      <c r="F11" s="83">
        <f>Оборачиваемость!E$10/30*'Объем пр-ва'!G9</f>
        <v>0</v>
      </c>
      <c r="G11" s="83">
        <f>Оборачиваемость!F$10/30*'Объем пр-ва'!H9</f>
        <v>0</v>
      </c>
      <c r="H11" s="83">
        <f>Оборачиваемость!G$10/30*'Объем пр-ва'!I9</f>
        <v>0</v>
      </c>
      <c r="I11" s="83">
        <f>Оборачиваемость!H$10/30*'Объем пр-ва'!J9</f>
        <v>0</v>
      </c>
      <c r="J11" s="83">
        <f>Оборачиваемость!I$10/30*'Объем пр-ва'!K9</f>
        <v>0</v>
      </c>
      <c r="K11" s="83">
        <f>Оборачиваемость!J$10/30*'Объем пр-ва'!L9</f>
        <v>0</v>
      </c>
      <c r="L11" s="83">
        <f>Оборачиваемость!K$10/30*'Объем пр-ва'!M9</f>
        <v>0</v>
      </c>
      <c r="M11" s="83">
        <f>Оборачиваемость!L$10/30*'Объем пр-ва'!N9</f>
        <v>0</v>
      </c>
      <c r="N11" s="83">
        <f>Оборачиваемость!M$10/30*'Объем пр-ва'!O9</f>
        <v>0</v>
      </c>
      <c r="O11" s="135">
        <f>N11</f>
        <v>0</v>
      </c>
      <c r="P11" s="133"/>
      <c r="Q11" s="134" t="str">
        <f>A9</f>
        <v>ГП_112</v>
      </c>
    </row>
    <row r="12" spans="1:16" ht="10.5">
      <c r="A12" s="136"/>
      <c r="B12" s="137" t="str">
        <f>A9</f>
        <v>ГП_112</v>
      </c>
      <c r="C12" s="396" t="s">
        <v>85</v>
      </c>
      <c r="D12" s="139">
        <f aca="true" t="shared" si="3" ref="D12:O12">D9-D10+D11</f>
        <v>0</v>
      </c>
      <c r="E12" s="139">
        <f t="shared" si="3"/>
        <v>0</v>
      </c>
      <c r="F12" s="139">
        <f t="shared" si="3"/>
        <v>0</v>
      </c>
      <c r="G12" s="139">
        <f t="shared" si="3"/>
        <v>0</v>
      </c>
      <c r="H12" s="139">
        <f t="shared" si="3"/>
        <v>0</v>
      </c>
      <c r="I12" s="139">
        <f t="shared" si="3"/>
        <v>0</v>
      </c>
      <c r="J12" s="139">
        <f t="shared" si="3"/>
        <v>0</v>
      </c>
      <c r="K12" s="139">
        <f t="shared" si="3"/>
        <v>0</v>
      </c>
      <c r="L12" s="139">
        <f t="shared" si="3"/>
        <v>0</v>
      </c>
      <c r="M12" s="139">
        <f t="shared" si="3"/>
        <v>0</v>
      </c>
      <c r="N12" s="139">
        <f t="shared" si="3"/>
        <v>0</v>
      </c>
      <c r="O12" s="139">
        <f t="shared" si="3"/>
        <v>0</v>
      </c>
      <c r="P12" s="140">
        <f>SUM(D12:O12)</f>
        <v>0</v>
      </c>
    </row>
    <row r="13" spans="1:16" ht="10.5">
      <c r="A13" s="125" t="s">
        <v>252</v>
      </c>
      <c r="B13" s="126" t="str">
        <f>VLOOKUP(A13,Классификаторы!$A:$B,2,FALSE)</f>
        <v>Продукт 3</v>
      </c>
      <c r="C13" s="395" t="s">
        <v>82</v>
      </c>
      <c r="D13" s="128">
        <f>SUMIF(Продажи!$A$5:$A$24,$A13,Продажи!C$5:C$24)</f>
        <v>0</v>
      </c>
      <c r="E13" s="128">
        <f>SUMIF(Продажи!$A$5:$A$24,$A13,Продажи!D$5:D$24)</f>
        <v>0</v>
      </c>
      <c r="F13" s="128">
        <f>SUMIF(Продажи!$A$5:$A$24,$A13,Продажи!E$5:E$24)</f>
        <v>0</v>
      </c>
      <c r="G13" s="128">
        <f>SUMIF(Продажи!$A$5:$A$24,$A13,Продажи!F$5:F$24)</f>
        <v>0</v>
      </c>
      <c r="H13" s="128">
        <f>SUMIF(Продажи!$A$5:$A$24,$A13,Продажи!G$5:G$24)</f>
        <v>0</v>
      </c>
      <c r="I13" s="128">
        <f>SUMIF(Продажи!$A$5:$A$24,$A13,Продажи!H$5:H$24)</f>
        <v>0</v>
      </c>
      <c r="J13" s="128">
        <f>SUMIF(Продажи!$A$5:$A$24,$A13,Продажи!I$5:I$24)</f>
        <v>0</v>
      </c>
      <c r="K13" s="128">
        <f>SUMIF(Продажи!$A$5:$A$24,$A13,Продажи!J$5:J$24)</f>
        <v>0</v>
      </c>
      <c r="L13" s="128">
        <f>SUMIF(Продажи!$A$5:$A$24,$A13,Продажи!K$5:K$24)</f>
        <v>0</v>
      </c>
      <c r="M13" s="128">
        <f>SUMIF(Продажи!$A$5:$A$24,$A13,Продажи!L$5:L$24)</f>
        <v>0</v>
      </c>
      <c r="N13" s="128">
        <f>SUMIF(Продажи!$A$5:$A$24,$A13,Продажи!M$5:M$24)</f>
        <v>0</v>
      </c>
      <c r="O13" s="128">
        <f>SUMIF(Продажи!$A$5:$A$24,$A13,Продажи!N$5:N$24)</f>
        <v>0</v>
      </c>
      <c r="P13" s="84">
        <f>SUM(D13:O13)</f>
        <v>0</v>
      </c>
    </row>
    <row r="14" spans="1:18" ht="10.5">
      <c r="A14" s="129"/>
      <c r="B14" s="130"/>
      <c r="C14" s="389" t="s">
        <v>83</v>
      </c>
      <c r="D14" s="132"/>
      <c r="E14" s="83">
        <f>D15</f>
        <v>0</v>
      </c>
      <c r="F14" s="83">
        <f aca="true" t="shared" si="4" ref="F14:O14">E15</f>
        <v>0</v>
      </c>
      <c r="G14" s="83">
        <f t="shared" si="4"/>
        <v>0</v>
      </c>
      <c r="H14" s="83">
        <f t="shared" si="4"/>
        <v>0</v>
      </c>
      <c r="I14" s="83">
        <f t="shared" si="4"/>
        <v>0</v>
      </c>
      <c r="J14" s="83">
        <f t="shared" si="4"/>
        <v>0</v>
      </c>
      <c r="K14" s="83">
        <f t="shared" si="4"/>
        <v>0</v>
      </c>
      <c r="L14" s="83">
        <f t="shared" si="4"/>
        <v>0</v>
      </c>
      <c r="M14" s="83">
        <f t="shared" si="4"/>
        <v>0</v>
      </c>
      <c r="N14" s="83">
        <f t="shared" si="4"/>
        <v>0</v>
      </c>
      <c r="O14" s="83">
        <f t="shared" si="4"/>
        <v>0</v>
      </c>
      <c r="P14" s="133"/>
      <c r="R14" s="134" t="str">
        <f>Q15</f>
        <v>ГП_113</v>
      </c>
    </row>
    <row r="15" spans="1:17" ht="10.5">
      <c r="A15" s="129"/>
      <c r="B15" s="130"/>
      <c r="C15" s="389" t="s">
        <v>84</v>
      </c>
      <c r="D15" s="83">
        <f>Оборачиваемость!C$10/30*'Объем пр-ва'!E13</f>
        <v>0</v>
      </c>
      <c r="E15" s="83">
        <f>Оборачиваемость!D$10/30*'Объем пр-ва'!F13</f>
        <v>0</v>
      </c>
      <c r="F15" s="83">
        <f>Оборачиваемость!E$10/30*'Объем пр-ва'!G13</f>
        <v>0</v>
      </c>
      <c r="G15" s="83">
        <f>Оборачиваемость!F$10/30*'Объем пр-ва'!H13</f>
        <v>0</v>
      </c>
      <c r="H15" s="83">
        <f>Оборачиваемость!G$10/30*'Объем пр-ва'!I13</f>
        <v>0</v>
      </c>
      <c r="I15" s="83">
        <f>Оборачиваемость!H$10/30*'Объем пр-ва'!J13</f>
        <v>0</v>
      </c>
      <c r="J15" s="83">
        <f>Оборачиваемость!I$10/30*'Объем пр-ва'!K13</f>
        <v>0</v>
      </c>
      <c r="K15" s="83">
        <f>Оборачиваемость!J$10/30*'Объем пр-ва'!L13</f>
        <v>0</v>
      </c>
      <c r="L15" s="83">
        <f>Оборачиваемость!K$10/30*'Объем пр-ва'!M13</f>
        <v>0</v>
      </c>
      <c r="M15" s="83">
        <f>Оборачиваемость!L$10/30*'Объем пр-ва'!N13</f>
        <v>0</v>
      </c>
      <c r="N15" s="83">
        <f>Оборачиваемость!M$10/30*'Объем пр-ва'!O13</f>
        <v>0</v>
      </c>
      <c r="O15" s="135">
        <f>N15</f>
        <v>0</v>
      </c>
      <c r="P15" s="133"/>
      <c r="Q15" s="134" t="str">
        <f>A13</f>
        <v>ГП_113</v>
      </c>
    </row>
    <row r="16" spans="1:16" ht="10.5">
      <c r="A16" s="136"/>
      <c r="B16" s="137" t="str">
        <f>A13</f>
        <v>ГП_113</v>
      </c>
      <c r="C16" s="396" t="s">
        <v>85</v>
      </c>
      <c r="D16" s="139">
        <f aca="true" t="shared" si="5" ref="D16:O16">D13-D14+D15</f>
        <v>0</v>
      </c>
      <c r="E16" s="139">
        <f t="shared" si="5"/>
        <v>0</v>
      </c>
      <c r="F16" s="139">
        <f t="shared" si="5"/>
        <v>0</v>
      </c>
      <c r="G16" s="139">
        <f t="shared" si="5"/>
        <v>0</v>
      </c>
      <c r="H16" s="139">
        <f t="shared" si="5"/>
        <v>0</v>
      </c>
      <c r="I16" s="139">
        <f t="shared" si="5"/>
        <v>0</v>
      </c>
      <c r="J16" s="139">
        <f t="shared" si="5"/>
        <v>0</v>
      </c>
      <c r="K16" s="139">
        <f t="shared" si="5"/>
        <v>0</v>
      </c>
      <c r="L16" s="139">
        <f t="shared" si="5"/>
        <v>0</v>
      </c>
      <c r="M16" s="139">
        <f t="shared" si="5"/>
        <v>0</v>
      </c>
      <c r="N16" s="139">
        <f t="shared" si="5"/>
        <v>0</v>
      </c>
      <c r="O16" s="139">
        <f t="shared" si="5"/>
        <v>0</v>
      </c>
      <c r="P16" s="140">
        <f>SUM(D16:O16)</f>
        <v>0</v>
      </c>
    </row>
    <row r="17" spans="1:16" ht="10.5">
      <c r="A17" s="125" t="s">
        <v>253</v>
      </c>
      <c r="B17" s="126" t="str">
        <f>VLOOKUP(A17,Классификаторы!$A:$B,2,FALSE)</f>
        <v>Продукт 4</v>
      </c>
      <c r="C17" s="395" t="s">
        <v>82</v>
      </c>
      <c r="D17" s="128">
        <f>SUMIF(Продажи!$A$5:$A$24,$A17,Продажи!C$5:C$24)</f>
        <v>0</v>
      </c>
      <c r="E17" s="128">
        <f>SUMIF(Продажи!$A$5:$A$24,$A17,Продажи!D$5:D$24)</f>
        <v>0</v>
      </c>
      <c r="F17" s="128">
        <f>SUMIF(Продажи!$A$5:$A$24,$A17,Продажи!E$5:E$24)</f>
        <v>0</v>
      </c>
      <c r="G17" s="128">
        <f>SUMIF(Продажи!$A$5:$A$24,$A17,Продажи!F$5:F$24)</f>
        <v>0</v>
      </c>
      <c r="H17" s="128">
        <f>SUMIF(Продажи!$A$5:$A$24,$A17,Продажи!G$5:G$24)</f>
        <v>0</v>
      </c>
      <c r="I17" s="128">
        <f>SUMIF(Продажи!$A$5:$A$24,$A17,Продажи!H$5:H$24)</f>
        <v>0</v>
      </c>
      <c r="J17" s="128">
        <f>SUMIF(Продажи!$A$5:$A$24,$A17,Продажи!I$5:I$24)</f>
        <v>0</v>
      </c>
      <c r="K17" s="128">
        <f>SUMIF(Продажи!$A$5:$A$24,$A17,Продажи!J$5:J$24)</f>
        <v>0</v>
      </c>
      <c r="L17" s="128">
        <f>SUMIF(Продажи!$A$5:$A$24,$A17,Продажи!K$5:K$24)</f>
        <v>0</v>
      </c>
      <c r="M17" s="128">
        <f>SUMIF(Продажи!$A$5:$A$24,$A17,Продажи!L$5:L$24)</f>
        <v>0</v>
      </c>
      <c r="N17" s="128">
        <f>SUMIF(Продажи!$A$5:$A$24,$A17,Продажи!M$5:M$24)</f>
        <v>0</v>
      </c>
      <c r="O17" s="128">
        <f>SUMIF(Продажи!$A$5:$A$24,$A17,Продажи!N$5:N$24)</f>
        <v>0</v>
      </c>
      <c r="P17" s="84">
        <f>SUM(D17:O17)</f>
        <v>0</v>
      </c>
    </row>
    <row r="18" spans="1:18" ht="10.5">
      <c r="A18" s="129"/>
      <c r="B18" s="130"/>
      <c r="C18" s="389" t="s">
        <v>83</v>
      </c>
      <c r="D18" s="132"/>
      <c r="E18" s="83">
        <f>D19</f>
        <v>0</v>
      </c>
      <c r="F18" s="83">
        <f aca="true" t="shared" si="6" ref="F18:O18">E19</f>
        <v>0</v>
      </c>
      <c r="G18" s="83">
        <f t="shared" si="6"/>
        <v>0</v>
      </c>
      <c r="H18" s="83">
        <f t="shared" si="6"/>
        <v>0</v>
      </c>
      <c r="I18" s="83">
        <f t="shared" si="6"/>
        <v>0</v>
      </c>
      <c r="J18" s="83">
        <f t="shared" si="6"/>
        <v>0</v>
      </c>
      <c r="K18" s="83">
        <f t="shared" si="6"/>
        <v>0</v>
      </c>
      <c r="L18" s="83">
        <f t="shared" si="6"/>
        <v>0</v>
      </c>
      <c r="M18" s="83">
        <f t="shared" si="6"/>
        <v>0</v>
      </c>
      <c r="N18" s="83">
        <f t="shared" si="6"/>
        <v>0</v>
      </c>
      <c r="O18" s="83">
        <f t="shared" si="6"/>
        <v>0</v>
      </c>
      <c r="P18" s="133"/>
      <c r="R18" s="134" t="str">
        <f>Q19</f>
        <v>ГП_114</v>
      </c>
    </row>
    <row r="19" spans="1:17" ht="10.5">
      <c r="A19" s="129"/>
      <c r="B19" s="130"/>
      <c r="C19" s="389" t="s">
        <v>84</v>
      </c>
      <c r="D19" s="83">
        <f>Оборачиваемость!C$10/30*'Объем пр-ва'!E17</f>
        <v>0</v>
      </c>
      <c r="E19" s="83">
        <f>Оборачиваемость!D$10/30*'Объем пр-ва'!F17</f>
        <v>0</v>
      </c>
      <c r="F19" s="83">
        <f>Оборачиваемость!E$10/30*'Объем пр-ва'!G17</f>
        <v>0</v>
      </c>
      <c r="G19" s="83">
        <f>Оборачиваемость!F$10/30*'Объем пр-ва'!H17</f>
        <v>0</v>
      </c>
      <c r="H19" s="83">
        <f>Оборачиваемость!G$10/30*'Объем пр-ва'!I17</f>
        <v>0</v>
      </c>
      <c r="I19" s="83">
        <f>Оборачиваемость!H$10/30*'Объем пр-ва'!J17</f>
        <v>0</v>
      </c>
      <c r="J19" s="83">
        <f>Оборачиваемость!I$10/30*'Объем пр-ва'!K17</f>
        <v>0</v>
      </c>
      <c r="K19" s="83">
        <f>Оборачиваемость!J$10/30*'Объем пр-ва'!L17</f>
        <v>0</v>
      </c>
      <c r="L19" s="83">
        <f>Оборачиваемость!K$10/30*'Объем пр-ва'!M17</f>
        <v>0</v>
      </c>
      <c r="M19" s="83">
        <f>Оборачиваемость!L$10/30*'Объем пр-ва'!N17</f>
        <v>0</v>
      </c>
      <c r="N19" s="83">
        <f>Оборачиваемость!M$10/30*'Объем пр-ва'!O17</f>
        <v>0</v>
      </c>
      <c r="O19" s="135">
        <f>N19</f>
        <v>0</v>
      </c>
      <c r="P19" s="133"/>
      <c r="Q19" s="134" t="str">
        <f>A17</f>
        <v>ГП_114</v>
      </c>
    </row>
    <row r="20" spans="1:16" ht="10.5">
      <c r="A20" s="136"/>
      <c r="B20" s="137" t="str">
        <f>A17</f>
        <v>ГП_114</v>
      </c>
      <c r="C20" s="396" t="s">
        <v>85</v>
      </c>
      <c r="D20" s="139">
        <f aca="true" t="shared" si="7" ref="D20:O20">D17-D18+D19</f>
        <v>0</v>
      </c>
      <c r="E20" s="139">
        <f t="shared" si="7"/>
        <v>0</v>
      </c>
      <c r="F20" s="139">
        <f t="shared" si="7"/>
        <v>0</v>
      </c>
      <c r="G20" s="139">
        <f t="shared" si="7"/>
        <v>0</v>
      </c>
      <c r="H20" s="139">
        <f t="shared" si="7"/>
        <v>0</v>
      </c>
      <c r="I20" s="139">
        <f t="shared" si="7"/>
        <v>0</v>
      </c>
      <c r="J20" s="139">
        <f t="shared" si="7"/>
        <v>0</v>
      </c>
      <c r="K20" s="139">
        <f t="shared" si="7"/>
        <v>0</v>
      </c>
      <c r="L20" s="139">
        <f t="shared" si="7"/>
        <v>0</v>
      </c>
      <c r="M20" s="139">
        <f t="shared" si="7"/>
        <v>0</v>
      </c>
      <c r="N20" s="139">
        <f t="shared" si="7"/>
        <v>0</v>
      </c>
      <c r="O20" s="139">
        <f t="shared" si="7"/>
        <v>0</v>
      </c>
      <c r="P20" s="140">
        <f>SUM(D20:O20)</f>
        <v>0</v>
      </c>
    </row>
    <row r="21" spans="1:16" ht="10.5">
      <c r="A21" s="125" t="s">
        <v>254</v>
      </c>
      <c r="B21" s="126" t="str">
        <f>VLOOKUP(A21,Классификаторы!$A:$B,2,FALSE)</f>
        <v>Продукт 5</v>
      </c>
      <c r="C21" s="395" t="s">
        <v>82</v>
      </c>
      <c r="D21" s="128">
        <f>SUMIF(Продажи!$A$5:$A$24,$A21,Продажи!C$5:C$24)</f>
        <v>0</v>
      </c>
      <c r="E21" s="128">
        <f>SUMIF(Продажи!$A$5:$A$24,$A21,Продажи!D$5:D$24)</f>
        <v>0</v>
      </c>
      <c r="F21" s="128">
        <f>SUMIF(Продажи!$A$5:$A$24,$A21,Продажи!E$5:E$24)</f>
        <v>0</v>
      </c>
      <c r="G21" s="128">
        <f>SUMIF(Продажи!$A$5:$A$24,$A21,Продажи!F$5:F$24)</f>
        <v>0</v>
      </c>
      <c r="H21" s="128">
        <f>SUMIF(Продажи!$A$5:$A$24,$A21,Продажи!G$5:G$24)</f>
        <v>0</v>
      </c>
      <c r="I21" s="128">
        <f>SUMIF(Продажи!$A$5:$A$24,$A21,Продажи!H$5:H$24)</f>
        <v>0</v>
      </c>
      <c r="J21" s="128">
        <f>SUMIF(Продажи!$A$5:$A$24,$A21,Продажи!I$5:I$24)</f>
        <v>0</v>
      </c>
      <c r="K21" s="128">
        <f>SUMIF(Продажи!$A$5:$A$24,$A21,Продажи!J$5:J$24)</f>
        <v>0</v>
      </c>
      <c r="L21" s="128">
        <f>SUMIF(Продажи!$A$5:$A$24,$A21,Продажи!K$5:K$24)</f>
        <v>0</v>
      </c>
      <c r="M21" s="128">
        <f>SUMIF(Продажи!$A$5:$A$24,$A21,Продажи!L$5:L$24)</f>
        <v>0</v>
      </c>
      <c r="N21" s="128">
        <f>SUMIF(Продажи!$A$5:$A$24,$A21,Продажи!M$5:M$24)</f>
        <v>0</v>
      </c>
      <c r="O21" s="128">
        <f>SUMIF(Продажи!$A$5:$A$24,$A21,Продажи!N$5:N$24)</f>
        <v>0</v>
      </c>
      <c r="P21" s="84">
        <f>SUM(D21:O21)</f>
        <v>0</v>
      </c>
    </row>
    <row r="22" spans="1:18" ht="10.5">
      <c r="A22" s="129"/>
      <c r="B22" s="130"/>
      <c r="C22" s="389" t="s">
        <v>83</v>
      </c>
      <c r="D22" s="132"/>
      <c r="E22" s="83">
        <f aca="true" t="shared" si="8" ref="E22:O22">D23</f>
        <v>0</v>
      </c>
      <c r="F22" s="83">
        <f t="shared" si="8"/>
        <v>0</v>
      </c>
      <c r="G22" s="83">
        <f t="shared" si="8"/>
        <v>0</v>
      </c>
      <c r="H22" s="83">
        <f t="shared" si="8"/>
        <v>0</v>
      </c>
      <c r="I22" s="83">
        <f t="shared" si="8"/>
        <v>0</v>
      </c>
      <c r="J22" s="83">
        <f t="shared" si="8"/>
        <v>0</v>
      </c>
      <c r="K22" s="83">
        <f t="shared" si="8"/>
        <v>0</v>
      </c>
      <c r="L22" s="83">
        <f t="shared" si="8"/>
        <v>0</v>
      </c>
      <c r="M22" s="83">
        <f t="shared" si="8"/>
        <v>0</v>
      </c>
      <c r="N22" s="83">
        <f t="shared" si="8"/>
        <v>0</v>
      </c>
      <c r="O22" s="83">
        <f t="shared" si="8"/>
        <v>0</v>
      </c>
      <c r="P22" s="133"/>
      <c r="R22" s="134" t="str">
        <f>Q23</f>
        <v>ГП_115</v>
      </c>
    </row>
    <row r="23" spans="1:17" ht="10.5">
      <c r="A23" s="129"/>
      <c r="B23" s="130"/>
      <c r="C23" s="389" t="s">
        <v>84</v>
      </c>
      <c r="D23" s="83">
        <f>Оборачиваемость!C$10/30*'Объем пр-ва'!E21</f>
        <v>0</v>
      </c>
      <c r="E23" s="83">
        <f>Оборачиваемость!D$10/30*'Объем пр-ва'!F21</f>
        <v>0</v>
      </c>
      <c r="F23" s="83">
        <f>Оборачиваемость!E$10/30*'Объем пр-ва'!G21</f>
        <v>0</v>
      </c>
      <c r="G23" s="83">
        <f>Оборачиваемость!F$10/30*'Объем пр-ва'!H21</f>
        <v>0</v>
      </c>
      <c r="H23" s="83">
        <f>Оборачиваемость!G$10/30*'Объем пр-ва'!I21</f>
        <v>0</v>
      </c>
      <c r="I23" s="83">
        <f>Оборачиваемость!H$10/30*'Объем пр-ва'!J21</f>
        <v>0</v>
      </c>
      <c r="J23" s="83">
        <f>Оборачиваемость!I$10/30*'Объем пр-ва'!K21</f>
        <v>0</v>
      </c>
      <c r="K23" s="83">
        <f>Оборачиваемость!J$10/30*'Объем пр-ва'!L21</f>
        <v>0</v>
      </c>
      <c r="L23" s="83">
        <f>Оборачиваемость!K$10/30*'Объем пр-ва'!M21</f>
        <v>0</v>
      </c>
      <c r="M23" s="83">
        <f>Оборачиваемость!L$10/30*'Объем пр-ва'!N21</f>
        <v>0</v>
      </c>
      <c r="N23" s="83">
        <f>Оборачиваемость!M$10/30*'Объем пр-ва'!O21</f>
        <v>0</v>
      </c>
      <c r="O23" s="135">
        <f>N23</f>
        <v>0</v>
      </c>
      <c r="P23" s="133"/>
      <c r="Q23" s="134" t="str">
        <f>A21</f>
        <v>ГП_115</v>
      </c>
    </row>
    <row r="24" spans="1:16" ht="10.5">
      <c r="A24" s="136"/>
      <c r="B24" s="137" t="str">
        <f>A21</f>
        <v>ГП_115</v>
      </c>
      <c r="C24" s="396" t="s">
        <v>85</v>
      </c>
      <c r="D24" s="139">
        <f aca="true" t="shared" si="9" ref="D24:O24">D21-D22+D23</f>
        <v>0</v>
      </c>
      <c r="E24" s="139">
        <f t="shared" si="9"/>
        <v>0</v>
      </c>
      <c r="F24" s="139">
        <f t="shared" si="9"/>
        <v>0</v>
      </c>
      <c r="G24" s="139">
        <f t="shared" si="9"/>
        <v>0</v>
      </c>
      <c r="H24" s="139">
        <f t="shared" si="9"/>
        <v>0</v>
      </c>
      <c r="I24" s="139">
        <f t="shared" si="9"/>
        <v>0</v>
      </c>
      <c r="J24" s="139">
        <f t="shared" si="9"/>
        <v>0</v>
      </c>
      <c r="K24" s="139">
        <f t="shared" si="9"/>
        <v>0</v>
      </c>
      <c r="L24" s="139">
        <f t="shared" si="9"/>
        <v>0</v>
      </c>
      <c r="M24" s="139">
        <f t="shared" si="9"/>
        <v>0</v>
      </c>
      <c r="N24" s="139">
        <f t="shared" si="9"/>
        <v>0</v>
      </c>
      <c r="O24" s="139">
        <f t="shared" si="9"/>
        <v>0</v>
      </c>
      <c r="P24" s="140">
        <f>SUM(D24:O24)</f>
        <v>0</v>
      </c>
    </row>
    <row r="25" spans="1:16" ht="10.5">
      <c r="A25" s="125" t="s">
        <v>255</v>
      </c>
      <c r="B25" s="126" t="str">
        <f>VLOOKUP(A25,Классификаторы!$A:$B,2,FALSE)</f>
        <v>Продукт 6</v>
      </c>
      <c r="C25" s="395" t="s">
        <v>82</v>
      </c>
      <c r="D25" s="128">
        <f>SUMIF(Продажи!$A$5:$A$24,$A25,Продажи!C$5:C$24)</f>
        <v>0</v>
      </c>
      <c r="E25" s="128">
        <f>SUMIF(Продажи!$A$5:$A$24,$A25,Продажи!D$5:D$24)</f>
        <v>0</v>
      </c>
      <c r="F25" s="128">
        <f>SUMIF(Продажи!$A$5:$A$24,$A25,Продажи!E$5:E$24)</f>
        <v>0</v>
      </c>
      <c r="G25" s="128">
        <f>SUMIF(Продажи!$A$5:$A$24,$A25,Продажи!F$5:F$24)</f>
        <v>0</v>
      </c>
      <c r="H25" s="128">
        <f>SUMIF(Продажи!$A$5:$A$24,$A25,Продажи!G$5:G$24)</f>
        <v>0</v>
      </c>
      <c r="I25" s="128">
        <f>SUMIF(Продажи!$A$5:$A$24,$A25,Продажи!H$5:H$24)</f>
        <v>0</v>
      </c>
      <c r="J25" s="128">
        <f>SUMIF(Продажи!$A$5:$A$24,$A25,Продажи!I$5:I$24)</f>
        <v>0</v>
      </c>
      <c r="K25" s="128">
        <f>SUMIF(Продажи!$A$5:$A$24,$A25,Продажи!J$5:J$24)</f>
        <v>0</v>
      </c>
      <c r="L25" s="128">
        <f>SUMIF(Продажи!$A$5:$A$24,$A25,Продажи!K$5:K$24)</f>
        <v>0</v>
      </c>
      <c r="M25" s="128">
        <f>SUMIF(Продажи!$A$5:$A$24,$A25,Продажи!L$5:L$24)</f>
        <v>0</v>
      </c>
      <c r="N25" s="128">
        <f>SUMIF(Продажи!$A$5:$A$24,$A25,Продажи!M$5:M$24)</f>
        <v>0</v>
      </c>
      <c r="O25" s="128">
        <f>SUMIF(Продажи!$A$5:$A$24,$A25,Продажи!N$5:N$24)</f>
        <v>0</v>
      </c>
      <c r="P25" s="84">
        <f>SUM(D25:O25)</f>
        <v>0</v>
      </c>
    </row>
    <row r="26" spans="1:18" ht="10.5">
      <c r="A26" s="129"/>
      <c r="B26" s="130"/>
      <c r="C26" s="389" t="s">
        <v>83</v>
      </c>
      <c r="D26" s="132"/>
      <c r="E26" s="83">
        <f aca="true" t="shared" si="10" ref="E26:O26">D27</f>
        <v>0</v>
      </c>
      <c r="F26" s="83">
        <f t="shared" si="10"/>
        <v>0</v>
      </c>
      <c r="G26" s="83">
        <f t="shared" si="10"/>
        <v>0</v>
      </c>
      <c r="H26" s="83">
        <f t="shared" si="10"/>
        <v>0</v>
      </c>
      <c r="I26" s="83">
        <f t="shared" si="10"/>
        <v>0</v>
      </c>
      <c r="J26" s="83">
        <f t="shared" si="10"/>
        <v>0</v>
      </c>
      <c r="K26" s="83">
        <f t="shared" si="10"/>
        <v>0</v>
      </c>
      <c r="L26" s="83">
        <f t="shared" si="10"/>
        <v>0</v>
      </c>
      <c r="M26" s="83">
        <f t="shared" si="10"/>
        <v>0</v>
      </c>
      <c r="N26" s="83">
        <f t="shared" si="10"/>
        <v>0</v>
      </c>
      <c r="O26" s="83">
        <f t="shared" si="10"/>
        <v>0</v>
      </c>
      <c r="P26" s="133"/>
      <c r="R26" s="134" t="str">
        <f>Q27</f>
        <v>ГП_121</v>
      </c>
    </row>
    <row r="27" spans="1:17" ht="10.5">
      <c r="A27" s="129"/>
      <c r="B27" s="130"/>
      <c r="C27" s="389" t="s">
        <v>84</v>
      </c>
      <c r="D27" s="83">
        <f>Оборачиваемость!C$10/30*'Объем пр-ва'!E25</f>
        <v>0</v>
      </c>
      <c r="E27" s="83">
        <f>Оборачиваемость!D$10/30*'Объем пр-ва'!F25</f>
        <v>0</v>
      </c>
      <c r="F27" s="83">
        <f>Оборачиваемость!E$10/30*'Объем пр-ва'!G25</f>
        <v>0</v>
      </c>
      <c r="G27" s="83">
        <f>Оборачиваемость!F$10/30*'Объем пр-ва'!H25</f>
        <v>0</v>
      </c>
      <c r="H27" s="83">
        <f>Оборачиваемость!G$10/30*'Объем пр-ва'!I25</f>
        <v>0</v>
      </c>
      <c r="I27" s="83">
        <f>Оборачиваемость!H$10/30*'Объем пр-ва'!J25</f>
        <v>0</v>
      </c>
      <c r="J27" s="83">
        <f>Оборачиваемость!I$10/30*'Объем пр-ва'!K25</f>
        <v>0</v>
      </c>
      <c r="K27" s="83">
        <f>Оборачиваемость!J$10/30*'Объем пр-ва'!L25</f>
        <v>0</v>
      </c>
      <c r="L27" s="83">
        <f>Оборачиваемость!K$10/30*'Объем пр-ва'!M25</f>
        <v>0</v>
      </c>
      <c r="M27" s="83">
        <f>Оборачиваемость!L$10/30*'Объем пр-ва'!N25</f>
        <v>0</v>
      </c>
      <c r="N27" s="83">
        <f>Оборачиваемость!M$10/30*'Объем пр-ва'!O25</f>
        <v>0</v>
      </c>
      <c r="O27" s="135">
        <f>N27</f>
        <v>0</v>
      </c>
      <c r="P27" s="133"/>
      <c r="Q27" s="134" t="str">
        <f>A25</f>
        <v>ГП_121</v>
      </c>
    </row>
    <row r="28" spans="1:16" ht="10.5">
      <c r="A28" s="136"/>
      <c r="B28" s="137" t="str">
        <f>A25</f>
        <v>ГП_121</v>
      </c>
      <c r="C28" s="396" t="s">
        <v>85</v>
      </c>
      <c r="D28" s="139">
        <f aca="true" t="shared" si="11" ref="D28:O28">D25-D26+D27</f>
        <v>0</v>
      </c>
      <c r="E28" s="139">
        <f t="shared" si="11"/>
        <v>0</v>
      </c>
      <c r="F28" s="139">
        <f t="shared" si="11"/>
        <v>0</v>
      </c>
      <c r="G28" s="139">
        <f t="shared" si="11"/>
        <v>0</v>
      </c>
      <c r="H28" s="139">
        <f t="shared" si="11"/>
        <v>0</v>
      </c>
      <c r="I28" s="139">
        <f t="shared" si="11"/>
        <v>0</v>
      </c>
      <c r="J28" s="139">
        <f t="shared" si="11"/>
        <v>0</v>
      </c>
      <c r="K28" s="139">
        <f t="shared" si="11"/>
        <v>0</v>
      </c>
      <c r="L28" s="139">
        <f t="shared" si="11"/>
        <v>0</v>
      </c>
      <c r="M28" s="139">
        <f t="shared" si="11"/>
        <v>0</v>
      </c>
      <c r="N28" s="139">
        <f t="shared" si="11"/>
        <v>0</v>
      </c>
      <c r="O28" s="139">
        <f t="shared" si="11"/>
        <v>0</v>
      </c>
      <c r="P28" s="140">
        <f>SUM(D28:O28)</f>
        <v>0</v>
      </c>
    </row>
    <row r="29" spans="1:16" ht="10.5">
      <c r="A29" s="125" t="s">
        <v>256</v>
      </c>
      <c r="B29" s="126" t="str">
        <f>VLOOKUP(A29,Классификаторы!$A:$B,2,FALSE)</f>
        <v>Продукт 7</v>
      </c>
      <c r="C29" s="395" t="s">
        <v>82</v>
      </c>
      <c r="D29" s="128">
        <f>SUMIF(Продажи!$A$5:$A$24,$A29,Продажи!C$5:C$24)</f>
        <v>0</v>
      </c>
      <c r="E29" s="128">
        <f>SUMIF(Продажи!$A$5:$A$24,$A29,Продажи!D$5:D$24)</f>
        <v>0</v>
      </c>
      <c r="F29" s="128">
        <f>SUMIF(Продажи!$A$5:$A$24,$A29,Продажи!E$5:E$24)</f>
        <v>0</v>
      </c>
      <c r="G29" s="128">
        <f>SUMIF(Продажи!$A$5:$A$24,$A29,Продажи!F$5:F$24)</f>
        <v>0</v>
      </c>
      <c r="H29" s="128">
        <f>SUMIF(Продажи!$A$5:$A$24,$A29,Продажи!G$5:G$24)</f>
        <v>0</v>
      </c>
      <c r="I29" s="128">
        <f>SUMIF(Продажи!$A$5:$A$24,$A29,Продажи!H$5:H$24)</f>
        <v>0</v>
      </c>
      <c r="J29" s="128">
        <f>SUMIF(Продажи!$A$5:$A$24,$A29,Продажи!I$5:I$24)</f>
        <v>0</v>
      </c>
      <c r="K29" s="128">
        <f>SUMIF(Продажи!$A$5:$A$24,$A29,Продажи!J$5:J$24)</f>
        <v>0</v>
      </c>
      <c r="L29" s="128">
        <f>SUMIF(Продажи!$A$5:$A$24,$A29,Продажи!K$5:K$24)</f>
        <v>0</v>
      </c>
      <c r="M29" s="128">
        <f>SUMIF(Продажи!$A$5:$A$24,$A29,Продажи!L$5:L$24)</f>
        <v>0</v>
      </c>
      <c r="N29" s="128">
        <f>SUMIF(Продажи!$A$5:$A$24,$A29,Продажи!M$5:M$24)</f>
        <v>0</v>
      </c>
      <c r="O29" s="128">
        <f>SUMIF(Продажи!$A$5:$A$24,$A29,Продажи!N$5:N$24)</f>
        <v>0</v>
      </c>
      <c r="P29" s="84">
        <f>SUM(D29:O29)</f>
        <v>0</v>
      </c>
    </row>
    <row r="30" spans="1:18" ht="10.5">
      <c r="A30" s="129"/>
      <c r="B30" s="130"/>
      <c r="C30" s="389" t="s">
        <v>83</v>
      </c>
      <c r="D30" s="132"/>
      <c r="E30" s="83">
        <f aca="true" t="shared" si="12" ref="E30:O30">D31</f>
        <v>0</v>
      </c>
      <c r="F30" s="83">
        <f t="shared" si="12"/>
        <v>0</v>
      </c>
      <c r="G30" s="83">
        <f t="shared" si="12"/>
        <v>0</v>
      </c>
      <c r="H30" s="83">
        <f t="shared" si="12"/>
        <v>0</v>
      </c>
      <c r="I30" s="83">
        <f t="shared" si="12"/>
        <v>0</v>
      </c>
      <c r="J30" s="83">
        <f t="shared" si="12"/>
        <v>0</v>
      </c>
      <c r="K30" s="83">
        <f t="shared" si="12"/>
        <v>0</v>
      </c>
      <c r="L30" s="83">
        <f t="shared" si="12"/>
        <v>0</v>
      </c>
      <c r="M30" s="83">
        <f t="shared" si="12"/>
        <v>0</v>
      </c>
      <c r="N30" s="83">
        <f t="shared" si="12"/>
        <v>0</v>
      </c>
      <c r="O30" s="83">
        <f t="shared" si="12"/>
        <v>0</v>
      </c>
      <c r="P30" s="133"/>
      <c r="R30" s="134" t="str">
        <f>Q31</f>
        <v>ГП_122</v>
      </c>
    </row>
    <row r="31" spans="1:17" ht="10.5">
      <c r="A31" s="129"/>
      <c r="B31" s="130"/>
      <c r="C31" s="389" t="s">
        <v>84</v>
      </c>
      <c r="D31" s="83">
        <f>Оборачиваемость!C$10/30*'Объем пр-ва'!E29</f>
        <v>0</v>
      </c>
      <c r="E31" s="83">
        <f>Оборачиваемость!D$10/30*'Объем пр-ва'!F29</f>
        <v>0</v>
      </c>
      <c r="F31" s="83">
        <f>Оборачиваемость!E$10/30*'Объем пр-ва'!G29</f>
        <v>0</v>
      </c>
      <c r="G31" s="83">
        <f>Оборачиваемость!F$10/30*'Объем пр-ва'!H29</f>
        <v>0</v>
      </c>
      <c r="H31" s="83">
        <f>Оборачиваемость!G$10/30*'Объем пр-ва'!I29</f>
        <v>0</v>
      </c>
      <c r="I31" s="83">
        <f>Оборачиваемость!H$10/30*'Объем пр-ва'!J29</f>
        <v>0</v>
      </c>
      <c r="J31" s="83">
        <f>Оборачиваемость!I$10/30*'Объем пр-ва'!K29</f>
        <v>0</v>
      </c>
      <c r="K31" s="83">
        <f>Оборачиваемость!J$10/30*'Объем пр-ва'!L29</f>
        <v>0</v>
      </c>
      <c r="L31" s="83">
        <f>Оборачиваемость!K$10/30*'Объем пр-ва'!M29</f>
        <v>0</v>
      </c>
      <c r="M31" s="83">
        <f>Оборачиваемость!L$10/30*'Объем пр-ва'!N29</f>
        <v>0</v>
      </c>
      <c r="N31" s="83">
        <f>Оборачиваемость!M$10/30*'Объем пр-ва'!O29</f>
        <v>0</v>
      </c>
      <c r="O31" s="135">
        <f>N31</f>
        <v>0</v>
      </c>
      <c r="P31" s="133"/>
      <c r="Q31" s="134" t="str">
        <f>A29</f>
        <v>ГП_122</v>
      </c>
    </row>
    <row r="32" spans="1:16" ht="10.5">
      <c r="A32" s="136"/>
      <c r="B32" s="137" t="str">
        <f>A29</f>
        <v>ГП_122</v>
      </c>
      <c r="C32" s="396" t="s">
        <v>85</v>
      </c>
      <c r="D32" s="139">
        <f aca="true" t="shared" si="13" ref="D32:O32">D29-D30+D31</f>
        <v>0</v>
      </c>
      <c r="E32" s="139">
        <f t="shared" si="13"/>
        <v>0</v>
      </c>
      <c r="F32" s="139">
        <f t="shared" si="13"/>
        <v>0</v>
      </c>
      <c r="G32" s="139">
        <f t="shared" si="13"/>
        <v>0</v>
      </c>
      <c r="H32" s="139">
        <f t="shared" si="13"/>
        <v>0</v>
      </c>
      <c r="I32" s="139">
        <f t="shared" si="13"/>
        <v>0</v>
      </c>
      <c r="J32" s="139">
        <f t="shared" si="13"/>
        <v>0</v>
      </c>
      <c r="K32" s="139">
        <f t="shared" si="13"/>
        <v>0</v>
      </c>
      <c r="L32" s="139">
        <f t="shared" si="13"/>
        <v>0</v>
      </c>
      <c r="M32" s="139">
        <f t="shared" si="13"/>
        <v>0</v>
      </c>
      <c r="N32" s="139">
        <f t="shared" si="13"/>
        <v>0</v>
      </c>
      <c r="O32" s="139">
        <f t="shared" si="13"/>
        <v>0</v>
      </c>
      <c r="P32" s="140">
        <f>SUM(D32:O32)</f>
        <v>0</v>
      </c>
    </row>
    <row r="33" spans="1:16" ht="10.5">
      <c r="A33" s="125" t="s">
        <v>257</v>
      </c>
      <c r="B33" s="126" t="str">
        <f>VLOOKUP(A33,Классификаторы!$A:$B,2,FALSE)</f>
        <v>Продукт 8</v>
      </c>
      <c r="C33" s="395" t="s">
        <v>82</v>
      </c>
      <c r="D33" s="128">
        <f>SUMIF(Продажи!$A$5:$A$24,$A33,Продажи!C$5:C$24)</f>
        <v>0</v>
      </c>
      <c r="E33" s="128">
        <f>SUMIF(Продажи!$A$5:$A$24,$A33,Продажи!D$5:D$24)</f>
        <v>0</v>
      </c>
      <c r="F33" s="128">
        <f>SUMIF(Продажи!$A$5:$A$24,$A33,Продажи!E$5:E$24)</f>
        <v>0</v>
      </c>
      <c r="G33" s="128">
        <f>SUMIF(Продажи!$A$5:$A$24,$A33,Продажи!F$5:F$24)</f>
        <v>0</v>
      </c>
      <c r="H33" s="128">
        <f>SUMIF(Продажи!$A$5:$A$24,$A33,Продажи!G$5:G$24)</f>
        <v>0</v>
      </c>
      <c r="I33" s="128">
        <f>SUMIF(Продажи!$A$5:$A$24,$A33,Продажи!H$5:H$24)</f>
        <v>0</v>
      </c>
      <c r="J33" s="128">
        <f>SUMIF(Продажи!$A$5:$A$24,$A33,Продажи!I$5:I$24)</f>
        <v>0</v>
      </c>
      <c r="K33" s="128">
        <f>SUMIF(Продажи!$A$5:$A$24,$A33,Продажи!J$5:J$24)</f>
        <v>0</v>
      </c>
      <c r="L33" s="128">
        <f>SUMIF(Продажи!$A$5:$A$24,$A33,Продажи!K$5:K$24)</f>
        <v>0</v>
      </c>
      <c r="M33" s="128">
        <f>SUMIF(Продажи!$A$5:$A$24,$A33,Продажи!L$5:L$24)</f>
        <v>0</v>
      </c>
      <c r="N33" s="128">
        <f>SUMIF(Продажи!$A$5:$A$24,$A33,Продажи!M$5:M$24)</f>
        <v>0</v>
      </c>
      <c r="O33" s="128">
        <f>SUMIF(Продажи!$A$5:$A$24,$A33,Продажи!N$5:N$24)</f>
        <v>0</v>
      </c>
      <c r="P33" s="84">
        <f>SUM(D33:O33)</f>
        <v>0</v>
      </c>
    </row>
    <row r="34" spans="1:18" ht="10.5">
      <c r="A34" s="129"/>
      <c r="B34" s="130"/>
      <c r="C34" s="389" t="s">
        <v>83</v>
      </c>
      <c r="D34" s="132"/>
      <c r="E34" s="83">
        <f aca="true" t="shared" si="14" ref="E34:O34">D35</f>
        <v>0</v>
      </c>
      <c r="F34" s="83">
        <f t="shared" si="14"/>
        <v>0</v>
      </c>
      <c r="G34" s="83">
        <f t="shared" si="14"/>
        <v>0</v>
      </c>
      <c r="H34" s="83">
        <f t="shared" si="14"/>
        <v>0</v>
      </c>
      <c r="I34" s="83">
        <f t="shared" si="14"/>
        <v>0</v>
      </c>
      <c r="J34" s="83">
        <f t="shared" si="14"/>
        <v>0</v>
      </c>
      <c r="K34" s="83">
        <f t="shared" si="14"/>
        <v>0</v>
      </c>
      <c r="L34" s="83">
        <f t="shared" si="14"/>
        <v>0</v>
      </c>
      <c r="M34" s="83">
        <f t="shared" si="14"/>
        <v>0</v>
      </c>
      <c r="N34" s="83">
        <f t="shared" si="14"/>
        <v>0</v>
      </c>
      <c r="O34" s="83">
        <f t="shared" si="14"/>
        <v>0</v>
      </c>
      <c r="P34" s="133"/>
      <c r="R34" s="134" t="str">
        <f>Q35</f>
        <v>ГП_123</v>
      </c>
    </row>
    <row r="35" spans="1:17" ht="10.5">
      <c r="A35" s="129"/>
      <c r="B35" s="130"/>
      <c r="C35" s="389" t="s">
        <v>84</v>
      </c>
      <c r="D35" s="83">
        <f>Оборачиваемость!C$10/30*'Объем пр-ва'!E33</f>
        <v>0</v>
      </c>
      <c r="E35" s="83">
        <f>Оборачиваемость!D$10/30*'Объем пр-ва'!F33</f>
        <v>0</v>
      </c>
      <c r="F35" s="83">
        <f>Оборачиваемость!E$10/30*'Объем пр-ва'!G33</f>
        <v>0</v>
      </c>
      <c r="G35" s="83">
        <f>Оборачиваемость!F$10/30*'Объем пр-ва'!H33</f>
        <v>0</v>
      </c>
      <c r="H35" s="83">
        <f>Оборачиваемость!G$10/30*'Объем пр-ва'!I33</f>
        <v>0</v>
      </c>
      <c r="I35" s="83">
        <f>Оборачиваемость!H$10/30*'Объем пр-ва'!J33</f>
        <v>0</v>
      </c>
      <c r="J35" s="83">
        <f>Оборачиваемость!I$10/30*'Объем пр-ва'!K33</f>
        <v>0</v>
      </c>
      <c r="K35" s="83">
        <f>Оборачиваемость!J$10/30*'Объем пр-ва'!L33</f>
        <v>0</v>
      </c>
      <c r="L35" s="83">
        <f>Оборачиваемость!K$10/30*'Объем пр-ва'!M33</f>
        <v>0</v>
      </c>
      <c r="M35" s="83">
        <f>Оборачиваемость!L$10/30*'Объем пр-ва'!N33</f>
        <v>0</v>
      </c>
      <c r="N35" s="83">
        <f>Оборачиваемость!M$10/30*'Объем пр-ва'!O33</f>
        <v>0</v>
      </c>
      <c r="O35" s="135">
        <f>N35</f>
        <v>0</v>
      </c>
      <c r="P35" s="133"/>
      <c r="Q35" s="134" t="str">
        <f>A33</f>
        <v>ГП_123</v>
      </c>
    </row>
    <row r="36" spans="1:16" ht="10.5">
      <c r="A36" s="136"/>
      <c r="B36" s="137" t="str">
        <f>A33</f>
        <v>ГП_123</v>
      </c>
      <c r="C36" s="396" t="s">
        <v>85</v>
      </c>
      <c r="D36" s="139">
        <f aca="true" t="shared" si="15" ref="D36:O36">D33-D34+D35</f>
        <v>0</v>
      </c>
      <c r="E36" s="139">
        <f t="shared" si="15"/>
        <v>0</v>
      </c>
      <c r="F36" s="139">
        <f t="shared" si="15"/>
        <v>0</v>
      </c>
      <c r="G36" s="139">
        <f t="shared" si="15"/>
        <v>0</v>
      </c>
      <c r="H36" s="139">
        <f t="shared" si="15"/>
        <v>0</v>
      </c>
      <c r="I36" s="139">
        <f t="shared" si="15"/>
        <v>0</v>
      </c>
      <c r="J36" s="139">
        <f t="shared" si="15"/>
        <v>0</v>
      </c>
      <c r="K36" s="139">
        <f t="shared" si="15"/>
        <v>0</v>
      </c>
      <c r="L36" s="139">
        <f t="shared" si="15"/>
        <v>0</v>
      </c>
      <c r="M36" s="139">
        <f t="shared" si="15"/>
        <v>0</v>
      </c>
      <c r="N36" s="139">
        <f t="shared" si="15"/>
        <v>0</v>
      </c>
      <c r="O36" s="139">
        <f t="shared" si="15"/>
        <v>0</v>
      </c>
      <c r="P36" s="140">
        <f>SUM(D36:O36)</f>
        <v>0</v>
      </c>
    </row>
    <row r="37" spans="1:16" ht="10.5">
      <c r="A37" s="125" t="s">
        <v>258</v>
      </c>
      <c r="B37" s="126" t="str">
        <f>VLOOKUP(A37,Классификаторы!$A:$B,2,FALSE)</f>
        <v>Продукт 9</v>
      </c>
      <c r="C37" s="395" t="s">
        <v>82</v>
      </c>
      <c r="D37" s="128">
        <f>SUMIF(Продажи!$A$5:$A$24,$A37,Продажи!C$5:C$24)</f>
        <v>0</v>
      </c>
      <c r="E37" s="128">
        <f>SUMIF(Продажи!$A$5:$A$24,$A37,Продажи!D$5:D$24)</f>
        <v>0</v>
      </c>
      <c r="F37" s="128">
        <f>SUMIF(Продажи!$A$5:$A$24,$A37,Продажи!E$5:E$24)</f>
        <v>0</v>
      </c>
      <c r="G37" s="128">
        <f>SUMIF(Продажи!$A$5:$A$24,$A37,Продажи!F$5:F$24)</f>
        <v>0</v>
      </c>
      <c r="H37" s="128">
        <f>SUMIF(Продажи!$A$5:$A$24,$A37,Продажи!G$5:G$24)</f>
        <v>0</v>
      </c>
      <c r="I37" s="128">
        <f>SUMIF(Продажи!$A$5:$A$24,$A37,Продажи!H$5:H$24)</f>
        <v>0</v>
      </c>
      <c r="J37" s="128">
        <f>SUMIF(Продажи!$A$5:$A$24,$A37,Продажи!I$5:I$24)</f>
        <v>0</v>
      </c>
      <c r="K37" s="128">
        <f>SUMIF(Продажи!$A$5:$A$24,$A37,Продажи!J$5:J$24)</f>
        <v>0</v>
      </c>
      <c r="L37" s="128">
        <f>SUMIF(Продажи!$A$5:$A$24,$A37,Продажи!K$5:K$24)</f>
        <v>0</v>
      </c>
      <c r="M37" s="128">
        <f>SUMIF(Продажи!$A$5:$A$24,$A37,Продажи!L$5:L$24)</f>
        <v>0</v>
      </c>
      <c r="N37" s="128">
        <f>SUMIF(Продажи!$A$5:$A$24,$A37,Продажи!M$5:M$24)</f>
        <v>0</v>
      </c>
      <c r="O37" s="128">
        <f>SUMIF(Продажи!$A$5:$A$24,$A37,Продажи!N$5:N$24)</f>
        <v>0</v>
      </c>
      <c r="P37" s="84">
        <f>SUM(D37:O37)</f>
        <v>0</v>
      </c>
    </row>
    <row r="38" spans="1:18" ht="10.5">
      <c r="A38" s="129"/>
      <c r="B38" s="130"/>
      <c r="C38" s="389" t="s">
        <v>83</v>
      </c>
      <c r="D38" s="132"/>
      <c r="E38" s="83">
        <f aca="true" t="shared" si="16" ref="E38:O38">D39</f>
        <v>0</v>
      </c>
      <c r="F38" s="83">
        <f t="shared" si="16"/>
        <v>0</v>
      </c>
      <c r="G38" s="83">
        <f t="shared" si="16"/>
        <v>0</v>
      </c>
      <c r="H38" s="83">
        <f t="shared" si="16"/>
        <v>0</v>
      </c>
      <c r="I38" s="83">
        <f t="shared" si="16"/>
        <v>0</v>
      </c>
      <c r="J38" s="83">
        <f t="shared" si="16"/>
        <v>0</v>
      </c>
      <c r="K38" s="83">
        <f t="shared" si="16"/>
        <v>0</v>
      </c>
      <c r="L38" s="83">
        <f t="shared" si="16"/>
        <v>0</v>
      </c>
      <c r="M38" s="83">
        <f t="shared" si="16"/>
        <v>0</v>
      </c>
      <c r="N38" s="83">
        <f t="shared" si="16"/>
        <v>0</v>
      </c>
      <c r="O38" s="83">
        <f t="shared" si="16"/>
        <v>0</v>
      </c>
      <c r="P38" s="133"/>
      <c r="R38" s="134" t="str">
        <f>Q39</f>
        <v>ГП_124</v>
      </c>
    </row>
    <row r="39" spans="1:17" ht="10.5">
      <c r="A39" s="129"/>
      <c r="B39" s="130"/>
      <c r="C39" s="389" t="s">
        <v>84</v>
      </c>
      <c r="D39" s="83">
        <f>Оборачиваемость!C$10/30*'Объем пр-ва'!E37</f>
        <v>0</v>
      </c>
      <c r="E39" s="83">
        <f>Оборачиваемость!D$10/30*'Объем пр-ва'!F37</f>
        <v>0</v>
      </c>
      <c r="F39" s="83">
        <f>Оборачиваемость!E$10/30*'Объем пр-ва'!G37</f>
        <v>0</v>
      </c>
      <c r="G39" s="83">
        <f>Оборачиваемость!F$10/30*'Объем пр-ва'!H37</f>
        <v>0</v>
      </c>
      <c r="H39" s="83">
        <f>Оборачиваемость!G$10/30*'Объем пр-ва'!I37</f>
        <v>0</v>
      </c>
      <c r="I39" s="83">
        <f>Оборачиваемость!H$10/30*'Объем пр-ва'!J37</f>
        <v>0</v>
      </c>
      <c r="J39" s="83">
        <f>Оборачиваемость!I$10/30*'Объем пр-ва'!K37</f>
        <v>0</v>
      </c>
      <c r="K39" s="83">
        <f>Оборачиваемость!J$10/30*'Объем пр-ва'!L37</f>
        <v>0</v>
      </c>
      <c r="L39" s="83">
        <f>Оборачиваемость!K$10/30*'Объем пр-ва'!M37</f>
        <v>0</v>
      </c>
      <c r="M39" s="83">
        <f>Оборачиваемость!L$10/30*'Объем пр-ва'!N37</f>
        <v>0</v>
      </c>
      <c r="N39" s="83">
        <f>Оборачиваемость!M$10/30*'Объем пр-ва'!O37</f>
        <v>0</v>
      </c>
      <c r="O39" s="135">
        <f>N39</f>
        <v>0</v>
      </c>
      <c r="P39" s="133"/>
      <c r="Q39" s="134" t="str">
        <f>A37</f>
        <v>ГП_124</v>
      </c>
    </row>
    <row r="40" spans="1:16" ht="10.5">
      <c r="A40" s="136"/>
      <c r="B40" s="137" t="str">
        <f>A37</f>
        <v>ГП_124</v>
      </c>
      <c r="C40" s="396" t="s">
        <v>85</v>
      </c>
      <c r="D40" s="139">
        <f aca="true" t="shared" si="17" ref="D40:O40">D37-D38+D39</f>
        <v>0</v>
      </c>
      <c r="E40" s="139">
        <f t="shared" si="17"/>
        <v>0</v>
      </c>
      <c r="F40" s="139">
        <f t="shared" si="17"/>
        <v>0</v>
      </c>
      <c r="G40" s="139">
        <f t="shared" si="17"/>
        <v>0</v>
      </c>
      <c r="H40" s="139">
        <f t="shared" si="17"/>
        <v>0</v>
      </c>
      <c r="I40" s="139">
        <f t="shared" si="17"/>
        <v>0</v>
      </c>
      <c r="J40" s="139">
        <f t="shared" si="17"/>
        <v>0</v>
      </c>
      <c r="K40" s="139">
        <f t="shared" si="17"/>
        <v>0</v>
      </c>
      <c r="L40" s="139">
        <f t="shared" si="17"/>
        <v>0</v>
      </c>
      <c r="M40" s="139">
        <f t="shared" si="17"/>
        <v>0</v>
      </c>
      <c r="N40" s="139">
        <f t="shared" si="17"/>
        <v>0</v>
      </c>
      <c r="O40" s="139">
        <f t="shared" si="17"/>
        <v>0</v>
      </c>
      <c r="P40" s="140">
        <f>SUM(D40:O40)</f>
        <v>0</v>
      </c>
    </row>
    <row r="41" spans="1:16" ht="10.5">
      <c r="A41" s="125" t="s">
        <v>259</v>
      </c>
      <c r="B41" s="126" t="str">
        <f>VLOOKUP(A41,Классификаторы!$A:$B,2,FALSE)</f>
        <v>Продукт 10</v>
      </c>
      <c r="C41" s="395" t="s">
        <v>82</v>
      </c>
      <c r="D41" s="128">
        <f>SUMIF(Продажи!$A$5:$A$24,$A41,Продажи!C$5:C$24)</f>
        <v>0</v>
      </c>
      <c r="E41" s="128">
        <f>SUMIF(Продажи!$A$5:$A$24,$A41,Продажи!D$5:D$24)</f>
        <v>0</v>
      </c>
      <c r="F41" s="128">
        <f>SUMIF(Продажи!$A$5:$A$24,$A41,Продажи!E$5:E$24)</f>
        <v>0</v>
      </c>
      <c r="G41" s="128">
        <f>SUMIF(Продажи!$A$5:$A$24,$A41,Продажи!F$5:F$24)</f>
        <v>0</v>
      </c>
      <c r="H41" s="128">
        <f>SUMIF(Продажи!$A$5:$A$24,$A41,Продажи!G$5:G$24)</f>
        <v>0</v>
      </c>
      <c r="I41" s="128">
        <f>SUMIF(Продажи!$A$5:$A$24,$A41,Продажи!H$5:H$24)</f>
        <v>0</v>
      </c>
      <c r="J41" s="128">
        <f>SUMIF(Продажи!$A$5:$A$24,$A41,Продажи!I$5:I$24)</f>
        <v>0</v>
      </c>
      <c r="K41" s="128">
        <f>SUMIF(Продажи!$A$5:$A$24,$A41,Продажи!J$5:J$24)</f>
        <v>0</v>
      </c>
      <c r="L41" s="128">
        <f>SUMIF(Продажи!$A$5:$A$24,$A41,Продажи!K$5:K$24)</f>
        <v>0</v>
      </c>
      <c r="M41" s="128">
        <f>SUMIF(Продажи!$A$5:$A$24,$A41,Продажи!L$5:L$24)</f>
        <v>0</v>
      </c>
      <c r="N41" s="128">
        <f>SUMIF(Продажи!$A$5:$A$24,$A41,Продажи!M$5:M$24)</f>
        <v>0</v>
      </c>
      <c r="O41" s="128">
        <f>SUMIF(Продажи!$A$5:$A$24,$A41,Продажи!N$5:N$24)</f>
        <v>0</v>
      </c>
      <c r="P41" s="84">
        <f>SUM(D41:O41)</f>
        <v>0</v>
      </c>
    </row>
    <row r="42" spans="1:18" ht="10.5">
      <c r="A42" s="129"/>
      <c r="B42" s="130"/>
      <c r="C42" s="389" t="s">
        <v>83</v>
      </c>
      <c r="D42" s="132"/>
      <c r="E42" s="83">
        <f aca="true" t="shared" si="18" ref="E42:O42">D43</f>
        <v>0</v>
      </c>
      <c r="F42" s="83">
        <f t="shared" si="18"/>
        <v>0</v>
      </c>
      <c r="G42" s="83">
        <f t="shared" si="18"/>
        <v>0</v>
      </c>
      <c r="H42" s="83">
        <f t="shared" si="18"/>
        <v>0</v>
      </c>
      <c r="I42" s="83">
        <f t="shared" si="18"/>
        <v>0</v>
      </c>
      <c r="J42" s="83">
        <f t="shared" si="18"/>
        <v>0</v>
      </c>
      <c r="K42" s="83">
        <f t="shared" si="18"/>
        <v>0</v>
      </c>
      <c r="L42" s="83">
        <f t="shared" si="18"/>
        <v>0</v>
      </c>
      <c r="M42" s="83">
        <f t="shared" si="18"/>
        <v>0</v>
      </c>
      <c r="N42" s="83">
        <f t="shared" si="18"/>
        <v>0</v>
      </c>
      <c r="O42" s="83">
        <f t="shared" si="18"/>
        <v>0</v>
      </c>
      <c r="P42" s="133"/>
      <c r="R42" s="134" t="str">
        <f>Q43</f>
        <v>ГП_125</v>
      </c>
    </row>
    <row r="43" spans="1:17" ht="10.5">
      <c r="A43" s="129"/>
      <c r="B43" s="130"/>
      <c r="C43" s="389" t="s">
        <v>84</v>
      </c>
      <c r="D43" s="83">
        <f>Оборачиваемость!C$10/30*'Объем пр-ва'!E41</f>
        <v>0</v>
      </c>
      <c r="E43" s="83">
        <f>Оборачиваемость!D$10/30*'Объем пр-ва'!F41</f>
        <v>0</v>
      </c>
      <c r="F43" s="83">
        <f>Оборачиваемость!E$10/30*'Объем пр-ва'!G41</f>
        <v>0</v>
      </c>
      <c r="G43" s="83">
        <f>Оборачиваемость!F$10/30*'Объем пр-ва'!H41</f>
        <v>0</v>
      </c>
      <c r="H43" s="83">
        <f>Оборачиваемость!G$10/30*'Объем пр-ва'!I41</f>
        <v>0</v>
      </c>
      <c r="I43" s="83">
        <f>Оборачиваемость!H$10/30*'Объем пр-ва'!J41</f>
        <v>0</v>
      </c>
      <c r="J43" s="83">
        <f>Оборачиваемость!I$10/30*'Объем пр-ва'!K41</f>
        <v>0</v>
      </c>
      <c r="K43" s="83">
        <f>Оборачиваемость!J$10/30*'Объем пр-ва'!L41</f>
        <v>0</v>
      </c>
      <c r="L43" s="83">
        <f>Оборачиваемость!K$10/30*'Объем пр-ва'!M41</f>
        <v>0</v>
      </c>
      <c r="M43" s="83">
        <f>Оборачиваемость!L$10/30*'Объем пр-ва'!N41</f>
        <v>0</v>
      </c>
      <c r="N43" s="83">
        <f>Оборачиваемость!M$10/30*'Объем пр-ва'!O41</f>
        <v>0</v>
      </c>
      <c r="O43" s="135">
        <f>N43</f>
        <v>0</v>
      </c>
      <c r="P43" s="133"/>
      <c r="Q43" s="134" t="str">
        <f>A41</f>
        <v>ГП_125</v>
      </c>
    </row>
    <row r="44" spans="1:16" ht="10.5">
      <c r="A44" s="136"/>
      <c r="B44" s="137" t="str">
        <f>A41</f>
        <v>ГП_125</v>
      </c>
      <c r="C44" s="396" t="s">
        <v>85</v>
      </c>
      <c r="D44" s="139">
        <f aca="true" t="shared" si="19" ref="D44:O44">D41-D42+D43</f>
        <v>0</v>
      </c>
      <c r="E44" s="139">
        <f t="shared" si="19"/>
        <v>0</v>
      </c>
      <c r="F44" s="139">
        <f t="shared" si="19"/>
        <v>0</v>
      </c>
      <c r="G44" s="139">
        <f t="shared" si="19"/>
        <v>0</v>
      </c>
      <c r="H44" s="139">
        <f t="shared" si="19"/>
        <v>0</v>
      </c>
      <c r="I44" s="139">
        <f t="shared" si="19"/>
        <v>0</v>
      </c>
      <c r="J44" s="139">
        <f t="shared" si="19"/>
        <v>0</v>
      </c>
      <c r="K44" s="139">
        <f t="shared" si="19"/>
        <v>0</v>
      </c>
      <c r="L44" s="139">
        <f t="shared" si="19"/>
        <v>0</v>
      </c>
      <c r="M44" s="139">
        <f t="shared" si="19"/>
        <v>0</v>
      </c>
      <c r="N44" s="139">
        <f t="shared" si="19"/>
        <v>0</v>
      </c>
      <c r="O44" s="139">
        <f t="shared" si="19"/>
        <v>0</v>
      </c>
      <c r="P44" s="140">
        <f>SUM(D44:O44)</f>
        <v>0</v>
      </c>
    </row>
    <row r="45" spans="1:16" ht="10.5">
      <c r="A45" s="125" t="s">
        <v>264</v>
      </c>
      <c r="B45" s="126" t="str">
        <f>VLOOKUP(A45,Классификаторы!$A:$B,2,FALSE)</f>
        <v>Продукт 11</v>
      </c>
      <c r="C45" s="395" t="s">
        <v>82</v>
      </c>
      <c r="D45" s="128">
        <f>SUMIF(Продажи!$A$5:$A$24,$A45,Продажи!C$5:C$24)</f>
        <v>0</v>
      </c>
      <c r="E45" s="128">
        <f>SUMIF(Продажи!$A$5:$A$24,$A45,Продажи!D$5:D$24)</f>
        <v>0</v>
      </c>
      <c r="F45" s="128">
        <f>SUMIF(Продажи!$A$5:$A$24,$A45,Продажи!E$5:E$24)</f>
        <v>0</v>
      </c>
      <c r="G45" s="128">
        <f>SUMIF(Продажи!$A$5:$A$24,$A45,Продажи!F$5:F$24)</f>
        <v>0</v>
      </c>
      <c r="H45" s="128">
        <f>SUMIF(Продажи!$A$5:$A$24,$A45,Продажи!G$5:G$24)</f>
        <v>0</v>
      </c>
      <c r="I45" s="128">
        <f>SUMIF(Продажи!$A$5:$A$24,$A45,Продажи!H$5:H$24)</f>
        <v>0</v>
      </c>
      <c r="J45" s="128">
        <f>SUMIF(Продажи!$A$5:$A$24,$A45,Продажи!I$5:I$24)</f>
        <v>0</v>
      </c>
      <c r="K45" s="128">
        <f>SUMIF(Продажи!$A$5:$A$24,$A45,Продажи!J$5:J$24)</f>
        <v>0</v>
      </c>
      <c r="L45" s="128">
        <f>SUMIF(Продажи!$A$5:$A$24,$A45,Продажи!K$5:K$24)</f>
        <v>0</v>
      </c>
      <c r="M45" s="128">
        <f>SUMIF(Продажи!$A$5:$A$24,$A45,Продажи!L$5:L$24)</f>
        <v>0</v>
      </c>
      <c r="N45" s="128">
        <f>SUMIF(Продажи!$A$5:$A$24,$A45,Продажи!M$5:M$24)</f>
        <v>0</v>
      </c>
      <c r="O45" s="128">
        <f>SUMIF(Продажи!$A$5:$A$24,$A45,Продажи!N$5:N$24)</f>
        <v>0</v>
      </c>
      <c r="P45" s="84">
        <f>SUM(D45:O45)</f>
        <v>0</v>
      </c>
    </row>
    <row r="46" spans="1:18" ht="10.5">
      <c r="A46" s="129"/>
      <c r="B46" s="130"/>
      <c r="C46" s="389" t="s">
        <v>83</v>
      </c>
      <c r="D46" s="132"/>
      <c r="E46" s="83">
        <f aca="true" t="shared" si="20" ref="E46:O46">D47</f>
        <v>0</v>
      </c>
      <c r="F46" s="83">
        <f t="shared" si="20"/>
        <v>0</v>
      </c>
      <c r="G46" s="83">
        <f t="shared" si="20"/>
        <v>0</v>
      </c>
      <c r="H46" s="83">
        <f t="shared" si="20"/>
        <v>0</v>
      </c>
      <c r="I46" s="83">
        <f t="shared" si="20"/>
        <v>0</v>
      </c>
      <c r="J46" s="83">
        <f t="shared" si="20"/>
        <v>0</v>
      </c>
      <c r="K46" s="83">
        <f t="shared" si="20"/>
        <v>0</v>
      </c>
      <c r="L46" s="83">
        <f t="shared" si="20"/>
        <v>0</v>
      </c>
      <c r="M46" s="83">
        <f t="shared" si="20"/>
        <v>0</v>
      </c>
      <c r="N46" s="83">
        <f t="shared" si="20"/>
        <v>0</v>
      </c>
      <c r="O46" s="83">
        <f t="shared" si="20"/>
        <v>0</v>
      </c>
      <c r="P46" s="133"/>
      <c r="R46" s="134" t="str">
        <f>Q47</f>
        <v>ГП_211</v>
      </c>
    </row>
    <row r="47" spans="1:17" ht="10.5">
      <c r="A47" s="129"/>
      <c r="B47" s="130"/>
      <c r="C47" s="389" t="s">
        <v>84</v>
      </c>
      <c r="D47" s="83">
        <f>Оборачиваемость!C$10/30*'Объем пр-ва'!E45</f>
        <v>0</v>
      </c>
      <c r="E47" s="83">
        <f>Оборачиваемость!D$10/30*'Объем пр-ва'!F45</f>
        <v>0</v>
      </c>
      <c r="F47" s="83">
        <f>Оборачиваемость!E$10/30*'Объем пр-ва'!G45</f>
        <v>0</v>
      </c>
      <c r="G47" s="83">
        <f>Оборачиваемость!F$10/30*'Объем пр-ва'!H45</f>
        <v>0</v>
      </c>
      <c r="H47" s="83">
        <f>Оборачиваемость!G$10/30*'Объем пр-ва'!I45</f>
        <v>0</v>
      </c>
      <c r="I47" s="83">
        <f>Оборачиваемость!H$10/30*'Объем пр-ва'!J45</f>
        <v>0</v>
      </c>
      <c r="J47" s="83">
        <f>Оборачиваемость!I$10/30*'Объем пр-ва'!K45</f>
        <v>0</v>
      </c>
      <c r="K47" s="83">
        <f>Оборачиваемость!J$10/30*'Объем пр-ва'!L45</f>
        <v>0</v>
      </c>
      <c r="L47" s="83">
        <f>Оборачиваемость!K$10/30*'Объем пр-ва'!M45</f>
        <v>0</v>
      </c>
      <c r="M47" s="83">
        <f>Оборачиваемость!L$10/30*'Объем пр-ва'!N45</f>
        <v>0</v>
      </c>
      <c r="N47" s="83">
        <f>Оборачиваемость!M$10/30*'Объем пр-ва'!O45</f>
        <v>0</v>
      </c>
      <c r="O47" s="135">
        <f>N47</f>
        <v>0</v>
      </c>
      <c r="P47" s="133"/>
      <c r="Q47" s="134" t="str">
        <f>A45</f>
        <v>ГП_211</v>
      </c>
    </row>
    <row r="48" spans="1:16" ht="10.5">
      <c r="A48" s="136"/>
      <c r="B48" s="137" t="str">
        <f>A45</f>
        <v>ГП_211</v>
      </c>
      <c r="C48" s="396" t="s">
        <v>85</v>
      </c>
      <c r="D48" s="139">
        <f aca="true" t="shared" si="21" ref="D48:O48">D45-D46+D47</f>
        <v>0</v>
      </c>
      <c r="E48" s="139">
        <f t="shared" si="21"/>
        <v>0</v>
      </c>
      <c r="F48" s="139">
        <f t="shared" si="21"/>
        <v>0</v>
      </c>
      <c r="G48" s="139">
        <f t="shared" si="21"/>
        <v>0</v>
      </c>
      <c r="H48" s="139">
        <f t="shared" si="21"/>
        <v>0</v>
      </c>
      <c r="I48" s="139">
        <f t="shared" si="21"/>
        <v>0</v>
      </c>
      <c r="J48" s="139">
        <f t="shared" si="21"/>
        <v>0</v>
      </c>
      <c r="K48" s="139">
        <f t="shared" si="21"/>
        <v>0</v>
      </c>
      <c r="L48" s="139">
        <f t="shared" si="21"/>
        <v>0</v>
      </c>
      <c r="M48" s="139">
        <f t="shared" si="21"/>
        <v>0</v>
      </c>
      <c r="N48" s="139">
        <f t="shared" si="21"/>
        <v>0</v>
      </c>
      <c r="O48" s="139">
        <f t="shared" si="21"/>
        <v>0</v>
      </c>
      <c r="P48" s="140">
        <f>SUM(D48:O48)</f>
        <v>0</v>
      </c>
    </row>
    <row r="49" spans="1:16" ht="10.5">
      <c r="A49" s="125" t="s">
        <v>265</v>
      </c>
      <c r="B49" s="126" t="str">
        <f>VLOOKUP(A49,Классификаторы!$A:$B,2,FALSE)</f>
        <v>Продукт 12</v>
      </c>
      <c r="C49" s="395" t="s">
        <v>82</v>
      </c>
      <c r="D49" s="128">
        <f>SUMIF(Продажи!$A$5:$A$24,$A49,Продажи!C$5:C$24)</f>
        <v>0</v>
      </c>
      <c r="E49" s="128">
        <f>SUMIF(Продажи!$A$5:$A$24,$A49,Продажи!D$5:D$24)</f>
        <v>0</v>
      </c>
      <c r="F49" s="128">
        <f>SUMIF(Продажи!$A$5:$A$24,$A49,Продажи!E$5:E$24)</f>
        <v>0</v>
      </c>
      <c r="G49" s="128">
        <f>SUMIF(Продажи!$A$5:$A$24,$A49,Продажи!F$5:F$24)</f>
        <v>0</v>
      </c>
      <c r="H49" s="128">
        <f>SUMIF(Продажи!$A$5:$A$24,$A49,Продажи!G$5:G$24)</f>
        <v>0</v>
      </c>
      <c r="I49" s="128">
        <f>SUMIF(Продажи!$A$5:$A$24,$A49,Продажи!H$5:H$24)</f>
        <v>0</v>
      </c>
      <c r="J49" s="128">
        <f>SUMIF(Продажи!$A$5:$A$24,$A49,Продажи!I$5:I$24)</f>
        <v>0</v>
      </c>
      <c r="K49" s="128">
        <f>SUMIF(Продажи!$A$5:$A$24,$A49,Продажи!J$5:J$24)</f>
        <v>0</v>
      </c>
      <c r="L49" s="128">
        <f>SUMIF(Продажи!$A$5:$A$24,$A49,Продажи!K$5:K$24)</f>
        <v>0</v>
      </c>
      <c r="M49" s="128">
        <f>SUMIF(Продажи!$A$5:$A$24,$A49,Продажи!L$5:L$24)</f>
        <v>0</v>
      </c>
      <c r="N49" s="128">
        <f>SUMIF(Продажи!$A$5:$A$24,$A49,Продажи!M$5:M$24)</f>
        <v>0</v>
      </c>
      <c r="O49" s="128">
        <f>SUMIF(Продажи!$A$5:$A$24,$A49,Продажи!N$5:N$24)</f>
        <v>0</v>
      </c>
      <c r="P49" s="84">
        <f>SUM(D49:O49)</f>
        <v>0</v>
      </c>
    </row>
    <row r="50" spans="1:18" ht="10.5">
      <c r="A50" s="129"/>
      <c r="B50" s="130"/>
      <c r="C50" s="389" t="s">
        <v>83</v>
      </c>
      <c r="D50" s="132"/>
      <c r="E50" s="83">
        <f aca="true" t="shared" si="22" ref="E50:O50">D51</f>
        <v>0</v>
      </c>
      <c r="F50" s="83">
        <f t="shared" si="22"/>
        <v>0</v>
      </c>
      <c r="G50" s="83">
        <f t="shared" si="22"/>
        <v>0</v>
      </c>
      <c r="H50" s="83">
        <f t="shared" si="22"/>
        <v>0</v>
      </c>
      <c r="I50" s="83">
        <f t="shared" si="22"/>
        <v>0</v>
      </c>
      <c r="J50" s="83">
        <f t="shared" si="22"/>
        <v>0</v>
      </c>
      <c r="K50" s="83">
        <f t="shared" si="22"/>
        <v>0</v>
      </c>
      <c r="L50" s="83">
        <f t="shared" si="22"/>
        <v>0</v>
      </c>
      <c r="M50" s="83">
        <f t="shared" si="22"/>
        <v>0</v>
      </c>
      <c r="N50" s="83">
        <f t="shared" si="22"/>
        <v>0</v>
      </c>
      <c r="O50" s="83">
        <f t="shared" si="22"/>
        <v>0</v>
      </c>
      <c r="P50" s="133"/>
      <c r="R50" s="134" t="str">
        <f>Q51</f>
        <v>ГП_212</v>
      </c>
    </row>
    <row r="51" spans="1:17" ht="10.5">
      <c r="A51" s="129"/>
      <c r="B51" s="130"/>
      <c r="C51" s="389" t="s">
        <v>84</v>
      </c>
      <c r="D51" s="83">
        <f>Оборачиваемость!C$10/30*'Объем пр-ва'!E49</f>
        <v>0</v>
      </c>
      <c r="E51" s="83">
        <f>Оборачиваемость!D$10/30*'Объем пр-ва'!F49</f>
        <v>0</v>
      </c>
      <c r="F51" s="83">
        <f>Оборачиваемость!E$10/30*'Объем пр-ва'!G49</f>
        <v>0</v>
      </c>
      <c r="G51" s="83">
        <f>Оборачиваемость!F$10/30*'Объем пр-ва'!H49</f>
        <v>0</v>
      </c>
      <c r="H51" s="83">
        <f>Оборачиваемость!G$10/30*'Объем пр-ва'!I49</f>
        <v>0</v>
      </c>
      <c r="I51" s="83">
        <f>Оборачиваемость!H$10/30*'Объем пр-ва'!J49</f>
        <v>0</v>
      </c>
      <c r="J51" s="83">
        <f>Оборачиваемость!I$10/30*'Объем пр-ва'!K49</f>
        <v>0</v>
      </c>
      <c r="K51" s="83">
        <f>Оборачиваемость!J$10/30*'Объем пр-ва'!L49</f>
        <v>0</v>
      </c>
      <c r="L51" s="83">
        <f>Оборачиваемость!K$10/30*'Объем пр-ва'!M49</f>
        <v>0</v>
      </c>
      <c r="M51" s="83">
        <f>Оборачиваемость!L$10/30*'Объем пр-ва'!N49</f>
        <v>0</v>
      </c>
      <c r="N51" s="83">
        <f>Оборачиваемость!M$10/30*'Объем пр-ва'!O49</f>
        <v>0</v>
      </c>
      <c r="O51" s="135">
        <f>N51</f>
        <v>0</v>
      </c>
      <c r="P51" s="133"/>
      <c r="Q51" s="134" t="str">
        <f>A49</f>
        <v>ГП_212</v>
      </c>
    </row>
    <row r="52" spans="1:16" ht="10.5">
      <c r="A52" s="136"/>
      <c r="B52" s="137" t="str">
        <f>A49</f>
        <v>ГП_212</v>
      </c>
      <c r="C52" s="396" t="s">
        <v>85</v>
      </c>
      <c r="D52" s="139">
        <f aca="true" t="shared" si="23" ref="D52:O52">D49-D50+D51</f>
        <v>0</v>
      </c>
      <c r="E52" s="139">
        <f t="shared" si="23"/>
        <v>0</v>
      </c>
      <c r="F52" s="139">
        <f t="shared" si="23"/>
        <v>0</v>
      </c>
      <c r="G52" s="139">
        <f t="shared" si="23"/>
        <v>0</v>
      </c>
      <c r="H52" s="139">
        <f t="shared" si="23"/>
        <v>0</v>
      </c>
      <c r="I52" s="139">
        <f t="shared" si="23"/>
        <v>0</v>
      </c>
      <c r="J52" s="139">
        <f t="shared" si="23"/>
        <v>0</v>
      </c>
      <c r="K52" s="139">
        <f t="shared" si="23"/>
        <v>0</v>
      </c>
      <c r="L52" s="139">
        <f t="shared" si="23"/>
        <v>0</v>
      </c>
      <c r="M52" s="139">
        <f t="shared" si="23"/>
        <v>0</v>
      </c>
      <c r="N52" s="139">
        <f t="shared" si="23"/>
        <v>0</v>
      </c>
      <c r="O52" s="139">
        <f t="shared" si="23"/>
        <v>0</v>
      </c>
      <c r="P52" s="140">
        <f>SUM(D52:O52)</f>
        <v>0</v>
      </c>
    </row>
    <row r="53" spans="1:16" ht="10.5">
      <c r="A53" s="125" t="s">
        <v>267</v>
      </c>
      <c r="B53" s="126" t="str">
        <f>VLOOKUP(A53,Классификаторы!$A:$B,2,FALSE)</f>
        <v>Продукт 13</v>
      </c>
      <c r="C53" s="395" t="s">
        <v>82</v>
      </c>
      <c r="D53" s="128">
        <f>SUMIF(Продажи!$A$5:$A$24,$A53,Продажи!C$5:C$24)</f>
        <v>0</v>
      </c>
      <c r="E53" s="128">
        <f>SUMIF(Продажи!$A$5:$A$24,$A53,Продажи!D$5:D$24)</f>
        <v>0</v>
      </c>
      <c r="F53" s="128">
        <f>SUMIF(Продажи!$A$5:$A$24,$A53,Продажи!E$5:E$24)</f>
        <v>0</v>
      </c>
      <c r="G53" s="128">
        <f>SUMIF(Продажи!$A$5:$A$24,$A53,Продажи!F$5:F$24)</f>
        <v>0</v>
      </c>
      <c r="H53" s="128">
        <f>SUMIF(Продажи!$A$5:$A$24,$A53,Продажи!G$5:G$24)</f>
        <v>0</v>
      </c>
      <c r="I53" s="128">
        <f>SUMIF(Продажи!$A$5:$A$24,$A53,Продажи!H$5:H$24)</f>
        <v>0</v>
      </c>
      <c r="J53" s="128">
        <f>SUMIF(Продажи!$A$5:$A$24,$A53,Продажи!I$5:I$24)</f>
        <v>0</v>
      </c>
      <c r="K53" s="128">
        <f>SUMIF(Продажи!$A$5:$A$24,$A53,Продажи!J$5:J$24)</f>
        <v>0</v>
      </c>
      <c r="L53" s="128">
        <f>SUMIF(Продажи!$A$5:$A$24,$A53,Продажи!K$5:K$24)</f>
        <v>0</v>
      </c>
      <c r="M53" s="128">
        <f>SUMIF(Продажи!$A$5:$A$24,$A53,Продажи!L$5:L$24)</f>
        <v>0</v>
      </c>
      <c r="N53" s="128">
        <f>SUMIF(Продажи!$A$5:$A$24,$A53,Продажи!M$5:M$24)</f>
        <v>0</v>
      </c>
      <c r="O53" s="128">
        <f>SUMIF(Продажи!$A$5:$A$24,$A53,Продажи!N$5:N$24)</f>
        <v>0</v>
      </c>
      <c r="P53" s="84">
        <f>SUM(D53:O53)</f>
        <v>0</v>
      </c>
    </row>
    <row r="54" spans="1:18" ht="10.5">
      <c r="A54" s="129"/>
      <c r="B54" s="130"/>
      <c r="C54" s="389" t="s">
        <v>83</v>
      </c>
      <c r="D54" s="132"/>
      <c r="E54" s="83">
        <f aca="true" t="shared" si="24" ref="E54:O54">D55</f>
        <v>0</v>
      </c>
      <c r="F54" s="83">
        <f t="shared" si="24"/>
        <v>0</v>
      </c>
      <c r="G54" s="83">
        <f t="shared" si="24"/>
        <v>0</v>
      </c>
      <c r="H54" s="83">
        <f t="shared" si="24"/>
        <v>0</v>
      </c>
      <c r="I54" s="83">
        <f t="shared" si="24"/>
        <v>0</v>
      </c>
      <c r="J54" s="83">
        <f t="shared" si="24"/>
        <v>0</v>
      </c>
      <c r="K54" s="83">
        <f t="shared" si="24"/>
        <v>0</v>
      </c>
      <c r="L54" s="83">
        <f t="shared" si="24"/>
        <v>0</v>
      </c>
      <c r="M54" s="83">
        <f t="shared" si="24"/>
        <v>0</v>
      </c>
      <c r="N54" s="83">
        <f t="shared" si="24"/>
        <v>0</v>
      </c>
      <c r="O54" s="83">
        <f t="shared" si="24"/>
        <v>0</v>
      </c>
      <c r="P54" s="133"/>
      <c r="R54" s="134" t="str">
        <f>Q55</f>
        <v>ГП_221</v>
      </c>
    </row>
    <row r="55" spans="1:17" ht="10.5">
      <c r="A55" s="129"/>
      <c r="B55" s="130"/>
      <c r="C55" s="389" t="s">
        <v>84</v>
      </c>
      <c r="D55" s="83">
        <f>Оборачиваемость!C$10/30*'Объем пр-ва'!E53</f>
        <v>0</v>
      </c>
      <c r="E55" s="83">
        <f>Оборачиваемость!D$10/30*'Объем пр-ва'!F53</f>
        <v>0</v>
      </c>
      <c r="F55" s="83">
        <f>Оборачиваемость!E$10/30*'Объем пр-ва'!G53</f>
        <v>0</v>
      </c>
      <c r="G55" s="83">
        <f>Оборачиваемость!F$10/30*'Объем пр-ва'!H53</f>
        <v>0</v>
      </c>
      <c r="H55" s="83">
        <f>Оборачиваемость!G$10/30*'Объем пр-ва'!I53</f>
        <v>0</v>
      </c>
      <c r="I55" s="83">
        <f>Оборачиваемость!H$10/30*'Объем пр-ва'!J53</f>
        <v>0</v>
      </c>
      <c r="J55" s="83">
        <f>Оборачиваемость!I$10/30*'Объем пр-ва'!K53</f>
        <v>0</v>
      </c>
      <c r="K55" s="83">
        <f>Оборачиваемость!J$10/30*'Объем пр-ва'!L53</f>
        <v>0</v>
      </c>
      <c r="L55" s="83">
        <f>Оборачиваемость!K$10/30*'Объем пр-ва'!M53</f>
        <v>0</v>
      </c>
      <c r="M55" s="83">
        <f>Оборачиваемость!L$10/30*'Объем пр-ва'!N53</f>
        <v>0</v>
      </c>
      <c r="N55" s="83">
        <f>Оборачиваемость!M$10/30*'Объем пр-ва'!O53</f>
        <v>0</v>
      </c>
      <c r="O55" s="135">
        <f>N55</f>
        <v>0</v>
      </c>
      <c r="P55" s="133"/>
      <c r="Q55" s="134" t="str">
        <f>A53</f>
        <v>ГП_221</v>
      </c>
    </row>
    <row r="56" spans="1:16" ht="10.5">
      <c r="A56" s="136"/>
      <c r="B56" s="137" t="str">
        <f>A53</f>
        <v>ГП_221</v>
      </c>
      <c r="C56" s="396" t="s">
        <v>85</v>
      </c>
      <c r="D56" s="139">
        <f aca="true" t="shared" si="25" ref="D56:O56">D53-D54+D55</f>
        <v>0</v>
      </c>
      <c r="E56" s="139">
        <f t="shared" si="25"/>
        <v>0</v>
      </c>
      <c r="F56" s="139">
        <f t="shared" si="25"/>
        <v>0</v>
      </c>
      <c r="G56" s="139">
        <f t="shared" si="25"/>
        <v>0</v>
      </c>
      <c r="H56" s="139">
        <f t="shared" si="25"/>
        <v>0</v>
      </c>
      <c r="I56" s="139">
        <f t="shared" si="25"/>
        <v>0</v>
      </c>
      <c r="J56" s="139">
        <f t="shared" si="25"/>
        <v>0</v>
      </c>
      <c r="K56" s="139">
        <f t="shared" si="25"/>
        <v>0</v>
      </c>
      <c r="L56" s="139">
        <f t="shared" si="25"/>
        <v>0</v>
      </c>
      <c r="M56" s="139">
        <f t="shared" si="25"/>
        <v>0</v>
      </c>
      <c r="N56" s="139">
        <f t="shared" si="25"/>
        <v>0</v>
      </c>
      <c r="O56" s="139">
        <f t="shared" si="25"/>
        <v>0</v>
      </c>
      <c r="P56" s="140">
        <f>SUM(D56:O56)</f>
        <v>0</v>
      </c>
    </row>
    <row r="57" spans="1:16" ht="10.5">
      <c r="A57" s="125" t="s">
        <v>268</v>
      </c>
      <c r="B57" s="126" t="str">
        <f>VLOOKUP(A57,Классификаторы!$A:$B,2,FALSE)</f>
        <v>Продукт 14</v>
      </c>
      <c r="C57" s="395" t="s">
        <v>82</v>
      </c>
      <c r="D57" s="128">
        <f>SUMIF(Продажи!$A$5:$A$24,$A57,Продажи!C$5:C$24)</f>
        <v>0</v>
      </c>
      <c r="E57" s="128">
        <f>SUMIF(Продажи!$A$5:$A$24,$A57,Продажи!D$5:D$24)</f>
        <v>0</v>
      </c>
      <c r="F57" s="128">
        <f>SUMIF(Продажи!$A$5:$A$24,$A57,Продажи!E$5:E$24)</f>
        <v>0</v>
      </c>
      <c r="G57" s="128">
        <f>SUMIF(Продажи!$A$5:$A$24,$A57,Продажи!F$5:F$24)</f>
        <v>0</v>
      </c>
      <c r="H57" s="128">
        <f>SUMIF(Продажи!$A$5:$A$24,$A57,Продажи!G$5:G$24)</f>
        <v>0</v>
      </c>
      <c r="I57" s="128">
        <f>SUMIF(Продажи!$A$5:$A$24,$A57,Продажи!H$5:H$24)</f>
        <v>0</v>
      </c>
      <c r="J57" s="128">
        <f>SUMIF(Продажи!$A$5:$A$24,$A57,Продажи!I$5:I$24)</f>
        <v>0</v>
      </c>
      <c r="K57" s="128">
        <f>SUMIF(Продажи!$A$5:$A$24,$A57,Продажи!J$5:J$24)</f>
        <v>0</v>
      </c>
      <c r="L57" s="128">
        <f>SUMIF(Продажи!$A$5:$A$24,$A57,Продажи!K$5:K$24)</f>
        <v>0</v>
      </c>
      <c r="M57" s="128">
        <f>SUMIF(Продажи!$A$5:$A$24,$A57,Продажи!L$5:L$24)</f>
        <v>0</v>
      </c>
      <c r="N57" s="128">
        <f>SUMIF(Продажи!$A$5:$A$24,$A57,Продажи!M$5:M$24)</f>
        <v>0</v>
      </c>
      <c r="O57" s="128">
        <f>SUMIF(Продажи!$A$5:$A$24,$A57,Продажи!N$5:N$24)</f>
        <v>0</v>
      </c>
      <c r="P57" s="84">
        <f>SUM(D57:O57)</f>
        <v>0</v>
      </c>
    </row>
    <row r="58" spans="1:18" ht="10.5">
      <c r="A58" s="129"/>
      <c r="B58" s="130"/>
      <c r="C58" s="389" t="s">
        <v>83</v>
      </c>
      <c r="D58" s="132"/>
      <c r="E58" s="83">
        <f aca="true" t="shared" si="26" ref="E58:O58">D59</f>
        <v>0</v>
      </c>
      <c r="F58" s="83">
        <f t="shared" si="26"/>
        <v>0</v>
      </c>
      <c r="G58" s="83">
        <f t="shared" si="26"/>
        <v>0</v>
      </c>
      <c r="H58" s="83">
        <f t="shared" si="26"/>
        <v>0</v>
      </c>
      <c r="I58" s="83">
        <f t="shared" si="26"/>
        <v>0</v>
      </c>
      <c r="J58" s="83">
        <f t="shared" si="26"/>
        <v>0</v>
      </c>
      <c r="K58" s="83">
        <f t="shared" si="26"/>
        <v>0</v>
      </c>
      <c r="L58" s="83">
        <f t="shared" si="26"/>
        <v>0</v>
      </c>
      <c r="M58" s="83">
        <f t="shared" si="26"/>
        <v>0</v>
      </c>
      <c r="N58" s="83">
        <f t="shared" si="26"/>
        <v>0</v>
      </c>
      <c r="O58" s="83">
        <f t="shared" si="26"/>
        <v>0</v>
      </c>
      <c r="P58" s="133"/>
      <c r="R58" s="134" t="str">
        <f>Q59</f>
        <v>ГП_222</v>
      </c>
    </row>
    <row r="59" spans="1:17" ht="10.5">
      <c r="A59" s="129"/>
      <c r="B59" s="130"/>
      <c r="C59" s="389" t="s">
        <v>84</v>
      </c>
      <c r="D59" s="83">
        <f>Оборачиваемость!C$10/30*'Объем пр-ва'!E57</f>
        <v>0</v>
      </c>
      <c r="E59" s="83">
        <f>Оборачиваемость!D$10/30*'Объем пр-ва'!F57</f>
        <v>0</v>
      </c>
      <c r="F59" s="83">
        <f>Оборачиваемость!E$10/30*'Объем пр-ва'!G57</f>
        <v>0</v>
      </c>
      <c r="G59" s="83">
        <f>Оборачиваемость!F$10/30*'Объем пр-ва'!H57</f>
        <v>0</v>
      </c>
      <c r="H59" s="83">
        <f>Оборачиваемость!G$10/30*'Объем пр-ва'!I57</f>
        <v>0</v>
      </c>
      <c r="I59" s="83">
        <f>Оборачиваемость!H$10/30*'Объем пр-ва'!J57</f>
        <v>0</v>
      </c>
      <c r="J59" s="83">
        <f>Оборачиваемость!I$10/30*'Объем пр-ва'!K57</f>
        <v>0</v>
      </c>
      <c r="K59" s="83">
        <f>Оборачиваемость!J$10/30*'Объем пр-ва'!L57</f>
        <v>0</v>
      </c>
      <c r="L59" s="83">
        <f>Оборачиваемость!K$10/30*'Объем пр-ва'!M57</f>
        <v>0</v>
      </c>
      <c r="M59" s="83">
        <f>Оборачиваемость!L$10/30*'Объем пр-ва'!N57</f>
        <v>0</v>
      </c>
      <c r="N59" s="83">
        <f>Оборачиваемость!M$10/30*'Объем пр-ва'!O57</f>
        <v>0</v>
      </c>
      <c r="O59" s="135">
        <f>N59</f>
        <v>0</v>
      </c>
      <c r="P59" s="133"/>
      <c r="Q59" s="134" t="str">
        <f>A57</f>
        <v>ГП_222</v>
      </c>
    </row>
    <row r="60" spans="1:16" ht="10.5">
      <c r="A60" s="136"/>
      <c r="B60" s="137" t="str">
        <f>A57</f>
        <v>ГП_222</v>
      </c>
      <c r="C60" s="396" t="s">
        <v>85</v>
      </c>
      <c r="D60" s="139">
        <f aca="true" t="shared" si="27" ref="D60:O60">D57-D58+D59</f>
        <v>0</v>
      </c>
      <c r="E60" s="139">
        <f t="shared" si="27"/>
        <v>0</v>
      </c>
      <c r="F60" s="139">
        <f t="shared" si="27"/>
        <v>0</v>
      </c>
      <c r="G60" s="139">
        <f t="shared" si="27"/>
        <v>0</v>
      </c>
      <c r="H60" s="139">
        <f t="shared" si="27"/>
        <v>0</v>
      </c>
      <c r="I60" s="139">
        <f t="shared" si="27"/>
        <v>0</v>
      </c>
      <c r="J60" s="139">
        <f t="shared" si="27"/>
        <v>0</v>
      </c>
      <c r="K60" s="139">
        <f t="shared" si="27"/>
        <v>0</v>
      </c>
      <c r="L60" s="139">
        <f t="shared" si="27"/>
        <v>0</v>
      </c>
      <c r="M60" s="139">
        <f t="shared" si="27"/>
        <v>0</v>
      </c>
      <c r="N60" s="139">
        <f t="shared" si="27"/>
        <v>0</v>
      </c>
      <c r="O60" s="139">
        <f t="shared" si="27"/>
        <v>0</v>
      </c>
      <c r="P60" s="140">
        <f>SUM(D60:O60)</f>
        <v>0</v>
      </c>
    </row>
    <row r="61" spans="1:16" ht="10.5">
      <c r="A61" s="125" t="s">
        <v>269</v>
      </c>
      <c r="B61" s="126" t="str">
        <f>VLOOKUP(A61,Классификаторы!$A:$B,2,FALSE)</f>
        <v>Продукт 15</v>
      </c>
      <c r="C61" s="395" t="s">
        <v>82</v>
      </c>
      <c r="D61" s="128">
        <f>SUMIF(Продажи!$A$5:$A$24,$A61,Продажи!C$5:C$24)</f>
        <v>0</v>
      </c>
      <c r="E61" s="128">
        <f>SUMIF(Продажи!$A$5:$A$24,$A61,Продажи!D$5:D$24)</f>
        <v>0</v>
      </c>
      <c r="F61" s="128">
        <f>SUMIF(Продажи!$A$5:$A$24,$A61,Продажи!E$5:E$24)</f>
        <v>0</v>
      </c>
      <c r="G61" s="128">
        <f>SUMIF(Продажи!$A$5:$A$24,$A61,Продажи!F$5:F$24)</f>
        <v>0</v>
      </c>
      <c r="H61" s="128">
        <f>SUMIF(Продажи!$A$5:$A$24,$A61,Продажи!G$5:G$24)</f>
        <v>0</v>
      </c>
      <c r="I61" s="128">
        <f>SUMIF(Продажи!$A$5:$A$24,$A61,Продажи!H$5:H$24)</f>
        <v>0</v>
      </c>
      <c r="J61" s="128">
        <f>SUMIF(Продажи!$A$5:$A$24,$A61,Продажи!I$5:I$24)</f>
        <v>0</v>
      </c>
      <c r="K61" s="128">
        <f>SUMIF(Продажи!$A$5:$A$24,$A61,Продажи!J$5:J$24)</f>
        <v>0</v>
      </c>
      <c r="L61" s="128">
        <f>SUMIF(Продажи!$A$5:$A$24,$A61,Продажи!K$5:K$24)</f>
        <v>0</v>
      </c>
      <c r="M61" s="128">
        <f>SUMIF(Продажи!$A$5:$A$24,$A61,Продажи!L$5:L$24)</f>
        <v>0</v>
      </c>
      <c r="N61" s="128">
        <f>SUMIF(Продажи!$A$5:$A$24,$A61,Продажи!M$5:M$24)</f>
        <v>0</v>
      </c>
      <c r="O61" s="128">
        <f>SUMIF(Продажи!$A$5:$A$24,$A61,Продажи!N$5:N$24)</f>
        <v>0</v>
      </c>
      <c r="P61" s="84">
        <f>SUM(D61:O61)</f>
        <v>0</v>
      </c>
    </row>
    <row r="62" spans="1:18" ht="10.5">
      <c r="A62" s="129"/>
      <c r="B62" s="130"/>
      <c r="C62" s="389" t="s">
        <v>83</v>
      </c>
      <c r="D62" s="132"/>
      <c r="E62" s="83">
        <f aca="true" t="shared" si="28" ref="E62:O62">D63</f>
        <v>0</v>
      </c>
      <c r="F62" s="83">
        <f t="shared" si="28"/>
        <v>0</v>
      </c>
      <c r="G62" s="83">
        <f t="shared" si="28"/>
        <v>0</v>
      </c>
      <c r="H62" s="83">
        <f t="shared" si="28"/>
        <v>0</v>
      </c>
      <c r="I62" s="83">
        <f t="shared" si="28"/>
        <v>0</v>
      </c>
      <c r="J62" s="83">
        <f t="shared" si="28"/>
        <v>0</v>
      </c>
      <c r="K62" s="83">
        <f t="shared" si="28"/>
        <v>0</v>
      </c>
      <c r="L62" s="83">
        <f t="shared" si="28"/>
        <v>0</v>
      </c>
      <c r="M62" s="83">
        <f t="shared" si="28"/>
        <v>0</v>
      </c>
      <c r="N62" s="83">
        <f t="shared" si="28"/>
        <v>0</v>
      </c>
      <c r="O62" s="83">
        <f t="shared" si="28"/>
        <v>0</v>
      </c>
      <c r="P62" s="133"/>
      <c r="R62" s="134" t="str">
        <f>Q63</f>
        <v>ГП_223</v>
      </c>
    </row>
    <row r="63" spans="1:17" ht="10.5">
      <c r="A63" s="129"/>
      <c r="B63" s="130"/>
      <c r="C63" s="389" t="s">
        <v>84</v>
      </c>
      <c r="D63" s="83">
        <f>Оборачиваемость!C$10/30*'Объем пр-ва'!E61</f>
        <v>0</v>
      </c>
      <c r="E63" s="83">
        <f>Оборачиваемость!D$10/30*'Объем пр-ва'!F61</f>
        <v>0</v>
      </c>
      <c r="F63" s="83">
        <f>Оборачиваемость!E$10/30*'Объем пр-ва'!G61</f>
        <v>0</v>
      </c>
      <c r="G63" s="83">
        <f>Оборачиваемость!F$10/30*'Объем пр-ва'!H61</f>
        <v>0</v>
      </c>
      <c r="H63" s="83">
        <f>Оборачиваемость!G$10/30*'Объем пр-ва'!I61</f>
        <v>0</v>
      </c>
      <c r="I63" s="83">
        <f>Оборачиваемость!H$10/30*'Объем пр-ва'!J61</f>
        <v>0</v>
      </c>
      <c r="J63" s="83">
        <f>Оборачиваемость!I$10/30*'Объем пр-ва'!K61</f>
        <v>0</v>
      </c>
      <c r="K63" s="83">
        <f>Оборачиваемость!J$10/30*'Объем пр-ва'!L61</f>
        <v>0</v>
      </c>
      <c r="L63" s="83">
        <f>Оборачиваемость!K$10/30*'Объем пр-ва'!M61</f>
        <v>0</v>
      </c>
      <c r="M63" s="83">
        <f>Оборачиваемость!L$10/30*'Объем пр-ва'!N61</f>
        <v>0</v>
      </c>
      <c r="N63" s="83">
        <f>Оборачиваемость!M$10/30*'Объем пр-ва'!O61</f>
        <v>0</v>
      </c>
      <c r="O63" s="135">
        <f>N63</f>
        <v>0</v>
      </c>
      <c r="P63" s="133"/>
      <c r="Q63" s="134" t="str">
        <f>A61</f>
        <v>ГП_223</v>
      </c>
    </row>
    <row r="64" spans="1:16" ht="10.5">
      <c r="A64" s="136"/>
      <c r="B64" s="137" t="str">
        <f>A61</f>
        <v>ГП_223</v>
      </c>
      <c r="C64" s="396" t="s">
        <v>85</v>
      </c>
      <c r="D64" s="139">
        <f aca="true" t="shared" si="29" ref="D64:O64">D61-D62+D63</f>
        <v>0</v>
      </c>
      <c r="E64" s="139">
        <f t="shared" si="29"/>
        <v>0</v>
      </c>
      <c r="F64" s="139">
        <f t="shared" si="29"/>
        <v>0</v>
      </c>
      <c r="G64" s="139">
        <f t="shared" si="29"/>
        <v>0</v>
      </c>
      <c r="H64" s="139">
        <f t="shared" si="29"/>
        <v>0</v>
      </c>
      <c r="I64" s="139">
        <f t="shared" si="29"/>
        <v>0</v>
      </c>
      <c r="J64" s="139">
        <f t="shared" si="29"/>
        <v>0</v>
      </c>
      <c r="K64" s="139">
        <f t="shared" si="29"/>
        <v>0</v>
      </c>
      <c r="L64" s="139">
        <f t="shared" si="29"/>
        <v>0</v>
      </c>
      <c r="M64" s="139">
        <f t="shared" si="29"/>
        <v>0</v>
      </c>
      <c r="N64" s="139">
        <f t="shared" si="29"/>
        <v>0</v>
      </c>
      <c r="O64" s="139">
        <f t="shared" si="29"/>
        <v>0</v>
      </c>
      <c r="P64" s="140">
        <f>SUM(D64:O64)</f>
        <v>0</v>
      </c>
    </row>
    <row r="65" spans="1:32" ht="10.5">
      <c r="A65" s="85" t="s">
        <v>64</v>
      </c>
      <c r="B65" s="89"/>
      <c r="C65" s="311" t="s">
        <v>342</v>
      </c>
      <c r="D65" s="311" t="s">
        <v>342</v>
      </c>
      <c r="E65" s="311" t="s">
        <v>342</v>
      </c>
      <c r="F65" s="311" t="s">
        <v>342</v>
      </c>
      <c r="G65" s="311" t="s">
        <v>342</v>
      </c>
      <c r="H65" s="311" t="s">
        <v>342</v>
      </c>
      <c r="I65" s="311" t="s">
        <v>342</v>
      </c>
      <c r="J65" s="311" t="s">
        <v>342</v>
      </c>
      <c r="K65" s="311" t="s">
        <v>342</v>
      </c>
      <c r="L65" s="311" t="s">
        <v>342</v>
      </c>
      <c r="M65" s="311" t="s">
        <v>342</v>
      </c>
      <c r="N65" s="311" t="s">
        <v>342</v>
      </c>
      <c r="O65" s="311" t="s">
        <v>342</v>
      </c>
      <c r="P65" s="384" t="s">
        <v>342</v>
      </c>
      <c r="Q65" s="379" t="s">
        <v>342</v>
      </c>
      <c r="R65" s="379" t="s">
        <v>342</v>
      </c>
      <c r="S65" s="379" t="s">
        <v>342</v>
      </c>
      <c r="T65" s="379" t="s">
        <v>342</v>
      </c>
      <c r="U65" s="379" t="s">
        <v>342</v>
      </c>
      <c r="V65" s="379" t="s">
        <v>342</v>
      </c>
      <c r="W65" s="379" t="s">
        <v>342</v>
      </c>
      <c r="X65" s="379" t="s">
        <v>342</v>
      </c>
      <c r="Y65" s="379" t="s">
        <v>342</v>
      </c>
      <c r="Z65" s="379" t="s">
        <v>342</v>
      </c>
      <c r="AA65" s="379" t="s">
        <v>342</v>
      </c>
      <c r="AB65" s="379" t="s">
        <v>342</v>
      </c>
      <c r="AC65" s="379" t="s">
        <v>342</v>
      </c>
      <c r="AD65" s="379" t="s">
        <v>342</v>
      </c>
      <c r="AE65" s="379" t="s">
        <v>342</v>
      </c>
      <c r="AF65" s="379" t="s">
        <v>342</v>
      </c>
    </row>
    <row r="66" spans="1:16" ht="10.5">
      <c r="A66" s="307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303"/>
    </row>
    <row r="67" spans="1:16" ht="21">
      <c r="A67" s="382" t="s">
        <v>163</v>
      </c>
      <c r="B67" s="377" t="s">
        <v>344</v>
      </c>
      <c r="C67" s="392" t="s">
        <v>82</v>
      </c>
      <c r="D67" s="197">
        <f>D41+D37+D33+D29+D25+D21+D17+D13+D9+D5</f>
        <v>0</v>
      </c>
      <c r="E67" s="197">
        <f aca="true" t="shared" si="30" ref="E67:O67">E41+E37+E33+E29+E25+E21+E17+E13+E9+E5</f>
        <v>0</v>
      </c>
      <c r="F67" s="197">
        <f t="shared" si="30"/>
        <v>0</v>
      </c>
      <c r="G67" s="197">
        <f t="shared" si="30"/>
        <v>0</v>
      </c>
      <c r="H67" s="197">
        <f t="shared" si="30"/>
        <v>0</v>
      </c>
      <c r="I67" s="197">
        <f t="shared" si="30"/>
        <v>0</v>
      </c>
      <c r="J67" s="197">
        <f t="shared" si="30"/>
        <v>0</v>
      </c>
      <c r="K67" s="197">
        <f t="shared" si="30"/>
        <v>0</v>
      </c>
      <c r="L67" s="197">
        <f t="shared" si="30"/>
        <v>0</v>
      </c>
      <c r="M67" s="197">
        <f t="shared" si="30"/>
        <v>0</v>
      </c>
      <c r="N67" s="197">
        <f t="shared" si="30"/>
        <v>0</v>
      </c>
      <c r="O67" s="197">
        <f t="shared" si="30"/>
        <v>0</v>
      </c>
      <c r="P67" s="192">
        <f aca="true" t="shared" si="31" ref="P67:P74">SUM(D67:O67)</f>
        <v>0</v>
      </c>
    </row>
    <row r="68" spans="1:18" ht="10.5">
      <c r="A68" s="246"/>
      <c r="B68" s="397"/>
      <c r="C68" s="393" t="s">
        <v>83</v>
      </c>
      <c r="D68" s="135">
        <f aca="true" t="shared" si="32" ref="D68:O68">D42+D38+D34+D30+D26+D22+D18+D14+D10+D6</f>
        <v>0</v>
      </c>
      <c r="E68" s="135">
        <f t="shared" si="32"/>
        <v>0</v>
      </c>
      <c r="F68" s="135">
        <f t="shared" si="32"/>
        <v>0</v>
      </c>
      <c r="G68" s="135">
        <f t="shared" si="32"/>
        <v>0</v>
      </c>
      <c r="H68" s="135">
        <f t="shared" si="32"/>
        <v>0</v>
      </c>
      <c r="I68" s="135">
        <f t="shared" si="32"/>
        <v>0</v>
      </c>
      <c r="J68" s="135">
        <f t="shared" si="32"/>
        <v>0</v>
      </c>
      <c r="K68" s="135">
        <f t="shared" si="32"/>
        <v>0</v>
      </c>
      <c r="L68" s="135">
        <f t="shared" si="32"/>
        <v>0</v>
      </c>
      <c r="M68" s="135">
        <f t="shared" si="32"/>
        <v>0</v>
      </c>
      <c r="N68" s="135">
        <f t="shared" si="32"/>
        <v>0</v>
      </c>
      <c r="O68" s="135">
        <f t="shared" si="32"/>
        <v>0</v>
      </c>
      <c r="P68" s="194">
        <f t="shared" si="31"/>
        <v>0</v>
      </c>
      <c r="R68" s="134" t="str">
        <f>Q69</f>
        <v>Итого:</v>
      </c>
    </row>
    <row r="69" spans="1:17" ht="10.5">
      <c r="A69" s="246"/>
      <c r="B69" s="397"/>
      <c r="C69" s="393" t="s">
        <v>84</v>
      </c>
      <c r="D69" s="135">
        <f aca="true" t="shared" si="33" ref="D69:O69">D43+D39+D35+D31+D27+D23+D19+D15+D11+D7</f>
        <v>0</v>
      </c>
      <c r="E69" s="135">
        <f t="shared" si="33"/>
        <v>0</v>
      </c>
      <c r="F69" s="135">
        <f t="shared" si="33"/>
        <v>0</v>
      </c>
      <c r="G69" s="135">
        <f t="shared" si="33"/>
        <v>0</v>
      </c>
      <c r="H69" s="135">
        <f t="shared" si="33"/>
        <v>0</v>
      </c>
      <c r="I69" s="135">
        <f t="shared" si="33"/>
        <v>0</v>
      </c>
      <c r="J69" s="135">
        <f t="shared" si="33"/>
        <v>0</v>
      </c>
      <c r="K69" s="135">
        <f t="shared" si="33"/>
        <v>0</v>
      </c>
      <c r="L69" s="135">
        <f t="shared" si="33"/>
        <v>0</v>
      </c>
      <c r="M69" s="135">
        <f t="shared" si="33"/>
        <v>0</v>
      </c>
      <c r="N69" s="135">
        <f t="shared" si="33"/>
        <v>0</v>
      </c>
      <c r="O69" s="135">
        <f t="shared" si="33"/>
        <v>0</v>
      </c>
      <c r="P69" s="194">
        <f t="shared" si="31"/>
        <v>0</v>
      </c>
      <c r="Q69" s="134" t="str">
        <f>A67</f>
        <v>Итого:</v>
      </c>
    </row>
    <row r="70" spans="1:16" ht="10.5">
      <c r="A70" s="245"/>
      <c r="B70" s="398"/>
      <c r="C70" s="394" t="s">
        <v>85</v>
      </c>
      <c r="D70" s="308">
        <f aca="true" t="shared" si="34" ref="D70:O70">D44+D40+D36+D32+D28+D24+D20+D16+D12+D8</f>
        <v>0</v>
      </c>
      <c r="E70" s="308">
        <f t="shared" si="34"/>
        <v>0</v>
      </c>
      <c r="F70" s="308">
        <f t="shared" si="34"/>
        <v>0</v>
      </c>
      <c r="G70" s="308">
        <f t="shared" si="34"/>
        <v>0</v>
      </c>
      <c r="H70" s="308">
        <f t="shared" si="34"/>
        <v>0</v>
      </c>
      <c r="I70" s="308">
        <f t="shared" si="34"/>
        <v>0</v>
      </c>
      <c r="J70" s="308">
        <f t="shared" si="34"/>
        <v>0</v>
      </c>
      <c r="K70" s="308">
        <f t="shared" si="34"/>
        <v>0</v>
      </c>
      <c r="L70" s="308">
        <f t="shared" si="34"/>
        <v>0</v>
      </c>
      <c r="M70" s="308">
        <f t="shared" si="34"/>
        <v>0</v>
      </c>
      <c r="N70" s="308">
        <f t="shared" si="34"/>
        <v>0</v>
      </c>
      <c r="O70" s="308">
        <f t="shared" si="34"/>
        <v>0</v>
      </c>
      <c r="P70" s="367">
        <f t="shared" si="31"/>
        <v>0</v>
      </c>
    </row>
    <row r="71" spans="1:16" ht="21">
      <c r="A71" s="382"/>
      <c r="B71" s="377" t="s">
        <v>345</v>
      </c>
      <c r="C71" s="392" t="s">
        <v>82</v>
      </c>
      <c r="D71" s="197">
        <f>D45+D49++D53+D57+D61</f>
        <v>0</v>
      </c>
      <c r="E71" s="197">
        <f aca="true" t="shared" si="35" ref="E71:O71">E45+E49++E53+E57+E61</f>
        <v>0</v>
      </c>
      <c r="F71" s="197">
        <f t="shared" si="35"/>
        <v>0</v>
      </c>
      <c r="G71" s="197">
        <f t="shared" si="35"/>
        <v>0</v>
      </c>
      <c r="H71" s="197">
        <f t="shared" si="35"/>
        <v>0</v>
      </c>
      <c r="I71" s="197">
        <f t="shared" si="35"/>
        <v>0</v>
      </c>
      <c r="J71" s="197">
        <f t="shared" si="35"/>
        <v>0</v>
      </c>
      <c r="K71" s="197">
        <f t="shared" si="35"/>
        <v>0</v>
      </c>
      <c r="L71" s="197">
        <f t="shared" si="35"/>
        <v>0</v>
      </c>
      <c r="M71" s="197">
        <f t="shared" si="35"/>
        <v>0</v>
      </c>
      <c r="N71" s="197">
        <f t="shared" si="35"/>
        <v>0</v>
      </c>
      <c r="O71" s="197">
        <f t="shared" si="35"/>
        <v>0</v>
      </c>
      <c r="P71" s="192">
        <f t="shared" si="31"/>
        <v>0</v>
      </c>
    </row>
    <row r="72" spans="1:18" ht="10.5">
      <c r="A72" s="246"/>
      <c r="B72" s="247"/>
      <c r="C72" s="393" t="s">
        <v>83</v>
      </c>
      <c r="D72" s="135">
        <f aca="true" t="shared" si="36" ref="D72:O72">D46+D50++D54+D58+D62</f>
        <v>0</v>
      </c>
      <c r="E72" s="135">
        <f t="shared" si="36"/>
        <v>0</v>
      </c>
      <c r="F72" s="135">
        <f t="shared" si="36"/>
        <v>0</v>
      </c>
      <c r="G72" s="135">
        <f t="shared" si="36"/>
        <v>0</v>
      </c>
      <c r="H72" s="135">
        <f t="shared" si="36"/>
        <v>0</v>
      </c>
      <c r="I72" s="135">
        <f t="shared" si="36"/>
        <v>0</v>
      </c>
      <c r="J72" s="135">
        <f t="shared" si="36"/>
        <v>0</v>
      </c>
      <c r="K72" s="135">
        <f t="shared" si="36"/>
        <v>0</v>
      </c>
      <c r="L72" s="135">
        <f t="shared" si="36"/>
        <v>0</v>
      </c>
      <c r="M72" s="135">
        <f t="shared" si="36"/>
        <v>0</v>
      </c>
      <c r="N72" s="135">
        <f t="shared" si="36"/>
        <v>0</v>
      </c>
      <c r="O72" s="135">
        <f t="shared" si="36"/>
        <v>0</v>
      </c>
      <c r="P72" s="194">
        <f t="shared" si="31"/>
        <v>0</v>
      </c>
      <c r="R72" s="134">
        <f>Q73</f>
        <v>0</v>
      </c>
    </row>
    <row r="73" spans="1:17" ht="10.5">
      <c r="A73" s="246"/>
      <c r="B73" s="247"/>
      <c r="C73" s="393" t="s">
        <v>84</v>
      </c>
      <c r="D73" s="135">
        <f aca="true" t="shared" si="37" ref="D73:O73">D47+D51++D55+D59+D63</f>
        <v>0</v>
      </c>
      <c r="E73" s="135">
        <f t="shared" si="37"/>
        <v>0</v>
      </c>
      <c r="F73" s="135">
        <f t="shared" si="37"/>
        <v>0</v>
      </c>
      <c r="G73" s="135">
        <f t="shared" si="37"/>
        <v>0</v>
      </c>
      <c r="H73" s="135">
        <f t="shared" si="37"/>
        <v>0</v>
      </c>
      <c r="I73" s="135">
        <f t="shared" si="37"/>
        <v>0</v>
      </c>
      <c r="J73" s="135">
        <f t="shared" si="37"/>
        <v>0</v>
      </c>
      <c r="K73" s="135">
        <f t="shared" si="37"/>
        <v>0</v>
      </c>
      <c r="L73" s="135">
        <f t="shared" si="37"/>
        <v>0</v>
      </c>
      <c r="M73" s="135">
        <f t="shared" si="37"/>
        <v>0</v>
      </c>
      <c r="N73" s="135">
        <f t="shared" si="37"/>
        <v>0</v>
      </c>
      <c r="O73" s="135">
        <f t="shared" si="37"/>
        <v>0</v>
      </c>
      <c r="P73" s="194">
        <f t="shared" si="31"/>
        <v>0</v>
      </c>
      <c r="Q73" s="134">
        <f>A71</f>
        <v>0</v>
      </c>
    </row>
    <row r="74" spans="1:16" ht="10.5">
      <c r="A74" s="245"/>
      <c r="B74" s="381"/>
      <c r="C74" s="394" t="s">
        <v>85</v>
      </c>
      <c r="D74" s="308">
        <f aca="true" t="shared" si="38" ref="D74:O74">D48+D52++D56+D60+D64</f>
        <v>0</v>
      </c>
      <c r="E74" s="308">
        <f t="shared" si="38"/>
        <v>0</v>
      </c>
      <c r="F74" s="308">
        <f t="shared" si="38"/>
        <v>0</v>
      </c>
      <c r="G74" s="308">
        <f t="shared" si="38"/>
        <v>0</v>
      </c>
      <c r="H74" s="308">
        <f t="shared" si="38"/>
        <v>0</v>
      </c>
      <c r="I74" s="308">
        <f t="shared" si="38"/>
        <v>0</v>
      </c>
      <c r="J74" s="308">
        <f t="shared" si="38"/>
        <v>0</v>
      </c>
      <c r="K74" s="308">
        <f t="shared" si="38"/>
        <v>0</v>
      </c>
      <c r="L74" s="308">
        <f t="shared" si="38"/>
        <v>0</v>
      </c>
      <c r="M74" s="308">
        <f t="shared" si="38"/>
        <v>0</v>
      </c>
      <c r="N74" s="308">
        <f t="shared" si="38"/>
        <v>0</v>
      </c>
      <c r="O74" s="308">
        <f t="shared" si="38"/>
        <v>0</v>
      </c>
      <c r="P74" s="367">
        <f t="shared" si="31"/>
        <v>0</v>
      </c>
    </row>
    <row r="75" spans="1:16" s="45" customFormat="1" ht="10.5">
      <c r="A75" s="110"/>
      <c r="B75" s="380"/>
      <c r="C75" s="248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100"/>
    </row>
    <row r="76" spans="1:18" ht="13.5" thickBot="1">
      <c r="A76" s="77" t="s">
        <v>347</v>
      </c>
      <c r="C76" s="78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79"/>
      <c r="R76" s="142" t="s">
        <v>162</v>
      </c>
    </row>
    <row r="77" spans="1:32" ht="10.5">
      <c r="A77" s="121" t="s">
        <v>0</v>
      </c>
      <c r="B77" s="122" t="s">
        <v>87</v>
      </c>
      <c r="C77" s="122"/>
      <c r="D77" s="123">
        <v>39448</v>
      </c>
      <c r="E77" s="123">
        <v>39480</v>
      </c>
      <c r="F77" s="123">
        <v>39512</v>
      </c>
      <c r="G77" s="123">
        <v>39544</v>
      </c>
      <c r="H77" s="123">
        <v>39576</v>
      </c>
      <c r="I77" s="123">
        <v>39608</v>
      </c>
      <c r="J77" s="123">
        <v>39640</v>
      </c>
      <c r="K77" s="123">
        <v>39672</v>
      </c>
      <c r="L77" s="123">
        <v>39704</v>
      </c>
      <c r="M77" s="123">
        <v>39736</v>
      </c>
      <c r="N77" s="123">
        <v>39768</v>
      </c>
      <c r="O77" s="123">
        <v>39800</v>
      </c>
      <c r="P77" s="340" t="s">
        <v>67</v>
      </c>
      <c r="R77" s="143">
        <v>1</v>
      </c>
      <c r="S77" s="143">
        <v>2</v>
      </c>
      <c r="T77" s="143">
        <v>3</v>
      </c>
      <c r="U77" s="143">
        <v>4</v>
      </c>
      <c r="V77" s="143">
        <v>5</v>
      </c>
      <c r="W77" s="143">
        <v>6</v>
      </c>
      <c r="X77" s="143">
        <v>7</v>
      </c>
      <c r="Y77" s="143">
        <v>8</v>
      </c>
      <c r="Z77" s="143">
        <v>9</v>
      </c>
      <c r="AA77" s="143">
        <v>10</v>
      </c>
      <c r="AB77" s="143">
        <v>11</v>
      </c>
      <c r="AC77" s="143">
        <v>12</v>
      </c>
      <c r="AD77" s="143">
        <v>13</v>
      </c>
      <c r="AE77" s="143">
        <v>14</v>
      </c>
      <c r="AF77" s="143">
        <v>15</v>
      </c>
    </row>
    <row r="78" spans="1:32" ht="10.5">
      <c r="A78" s="125" t="s">
        <v>250</v>
      </c>
      <c r="B78" s="126" t="str">
        <f>VLOOKUP(A78,Классификаторы!$A:$B,2,FALSE)</f>
        <v>Продукт 1</v>
      </c>
      <c r="C78" s="386" t="s">
        <v>85</v>
      </c>
      <c r="D78" s="128">
        <f>SUMIF($B$5:$B$65,$A78,D$5:D$65)</f>
        <v>0</v>
      </c>
      <c r="E78" s="128">
        <f aca="true" t="shared" si="39" ref="D78:O92">SUMIF($B$5:$B$65,$A78,E$5:E$65)</f>
        <v>0</v>
      </c>
      <c r="F78" s="128">
        <f t="shared" si="39"/>
        <v>0</v>
      </c>
      <c r="G78" s="128">
        <f t="shared" si="39"/>
        <v>0</v>
      </c>
      <c r="H78" s="128">
        <f t="shared" si="39"/>
        <v>0</v>
      </c>
      <c r="I78" s="128">
        <f t="shared" si="39"/>
        <v>0</v>
      </c>
      <c r="J78" s="128">
        <f t="shared" si="39"/>
        <v>0</v>
      </c>
      <c r="K78" s="128">
        <f t="shared" si="39"/>
        <v>0</v>
      </c>
      <c r="L78" s="128">
        <f t="shared" si="39"/>
        <v>0</v>
      </c>
      <c r="M78" s="128">
        <f t="shared" si="39"/>
        <v>0</v>
      </c>
      <c r="N78" s="128">
        <f t="shared" si="39"/>
        <v>0</v>
      </c>
      <c r="O78" s="304">
        <f t="shared" si="39"/>
        <v>0</v>
      </c>
      <c r="P78" s="318">
        <f aca="true" t="shared" si="40" ref="P78:P92">SUM(D78:O78)</f>
        <v>0</v>
      </c>
      <c r="R78" s="91">
        <v>1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  <c r="AE78" s="91">
        <v>0</v>
      </c>
      <c r="AF78" s="91">
        <v>0</v>
      </c>
    </row>
    <row r="79" spans="1:32" ht="10.5">
      <c r="A79" s="81" t="s">
        <v>251</v>
      </c>
      <c r="B79" s="82" t="str">
        <f>VLOOKUP(A79,Классификаторы!$A:$B,2,FALSE)</f>
        <v>Продукт 2</v>
      </c>
      <c r="C79" s="86" t="s">
        <v>85</v>
      </c>
      <c r="D79" s="83">
        <f t="shared" si="39"/>
        <v>0</v>
      </c>
      <c r="E79" s="83">
        <f t="shared" si="39"/>
        <v>0</v>
      </c>
      <c r="F79" s="83">
        <f t="shared" si="39"/>
        <v>0</v>
      </c>
      <c r="G79" s="83">
        <f t="shared" si="39"/>
        <v>0</v>
      </c>
      <c r="H79" s="83">
        <f t="shared" si="39"/>
        <v>0</v>
      </c>
      <c r="I79" s="83">
        <f t="shared" si="39"/>
        <v>0</v>
      </c>
      <c r="J79" s="83">
        <f t="shared" si="39"/>
        <v>0</v>
      </c>
      <c r="K79" s="83">
        <f t="shared" si="39"/>
        <v>0</v>
      </c>
      <c r="L79" s="83">
        <f t="shared" si="39"/>
        <v>0</v>
      </c>
      <c r="M79" s="83">
        <f t="shared" si="39"/>
        <v>0</v>
      </c>
      <c r="N79" s="83">
        <f t="shared" si="39"/>
        <v>0</v>
      </c>
      <c r="O79" s="305">
        <f t="shared" si="39"/>
        <v>0</v>
      </c>
      <c r="P79" s="319">
        <f t="shared" si="40"/>
        <v>0</v>
      </c>
      <c r="R79" s="91">
        <v>0</v>
      </c>
      <c r="S79" s="91">
        <v>1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  <c r="AE79" s="91">
        <v>0</v>
      </c>
      <c r="AF79" s="91">
        <v>0</v>
      </c>
    </row>
    <row r="80" spans="1:32" ht="10.5">
      <c r="A80" s="81" t="s">
        <v>252</v>
      </c>
      <c r="B80" s="82" t="str">
        <f>VLOOKUP(A80,Классификаторы!$A:$B,2,FALSE)</f>
        <v>Продукт 3</v>
      </c>
      <c r="C80" s="86" t="s">
        <v>85</v>
      </c>
      <c r="D80" s="83">
        <f t="shared" si="39"/>
        <v>0</v>
      </c>
      <c r="E80" s="83">
        <f t="shared" si="39"/>
        <v>0</v>
      </c>
      <c r="F80" s="83">
        <f t="shared" si="39"/>
        <v>0</v>
      </c>
      <c r="G80" s="83">
        <f t="shared" si="39"/>
        <v>0</v>
      </c>
      <c r="H80" s="83">
        <f t="shared" si="39"/>
        <v>0</v>
      </c>
      <c r="I80" s="83">
        <f t="shared" si="39"/>
        <v>0</v>
      </c>
      <c r="J80" s="83">
        <f t="shared" si="39"/>
        <v>0</v>
      </c>
      <c r="K80" s="83">
        <f t="shared" si="39"/>
        <v>0</v>
      </c>
      <c r="L80" s="83">
        <f t="shared" si="39"/>
        <v>0</v>
      </c>
      <c r="M80" s="83">
        <f t="shared" si="39"/>
        <v>0</v>
      </c>
      <c r="N80" s="83">
        <f t="shared" si="39"/>
        <v>0</v>
      </c>
      <c r="O80" s="305">
        <f t="shared" si="39"/>
        <v>0</v>
      </c>
      <c r="P80" s="319">
        <f t="shared" si="40"/>
        <v>0</v>
      </c>
      <c r="R80" s="91">
        <v>0</v>
      </c>
      <c r="S80" s="91">
        <v>0</v>
      </c>
      <c r="T80" s="91">
        <v>1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  <c r="AE80" s="91">
        <v>0</v>
      </c>
      <c r="AF80" s="91">
        <v>0</v>
      </c>
    </row>
    <row r="81" spans="1:32" ht="10.5">
      <c r="A81" s="81" t="s">
        <v>253</v>
      </c>
      <c r="B81" s="82" t="str">
        <f>VLOOKUP(A81,Классификаторы!$A:$B,2,FALSE)</f>
        <v>Продукт 4</v>
      </c>
      <c r="C81" s="86" t="s">
        <v>85</v>
      </c>
      <c r="D81" s="83">
        <f t="shared" si="39"/>
        <v>0</v>
      </c>
      <c r="E81" s="83">
        <f t="shared" si="39"/>
        <v>0</v>
      </c>
      <c r="F81" s="83">
        <f t="shared" si="39"/>
        <v>0</v>
      </c>
      <c r="G81" s="83">
        <f t="shared" si="39"/>
        <v>0</v>
      </c>
      <c r="H81" s="83">
        <f t="shared" si="39"/>
        <v>0</v>
      </c>
      <c r="I81" s="83">
        <f t="shared" si="39"/>
        <v>0</v>
      </c>
      <c r="J81" s="83">
        <f t="shared" si="39"/>
        <v>0</v>
      </c>
      <c r="K81" s="83">
        <f t="shared" si="39"/>
        <v>0</v>
      </c>
      <c r="L81" s="83">
        <f t="shared" si="39"/>
        <v>0</v>
      </c>
      <c r="M81" s="83">
        <f t="shared" si="39"/>
        <v>0</v>
      </c>
      <c r="N81" s="83">
        <f t="shared" si="39"/>
        <v>0</v>
      </c>
      <c r="O81" s="305">
        <f t="shared" si="39"/>
        <v>0</v>
      </c>
      <c r="P81" s="319">
        <f t="shared" si="40"/>
        <v>0</v>
      </c>
      <c r="R81" s="91">
        <v>0</v>
      </c>
      <c r="S81" s="91">
        <v>0</v>
      </c>
      <c r="T81" s="91">
        <v>0</v>
      </c>
      <c r="U81" s="91">
        <v>1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  <c r="AC81" s="91">
        <v>0</v>
      </c>
      <c r="AD81" s="91">
        <v>0</v>
      </c>
      <c r="AE81" s="91">
        <v>0</v>
      </c>
      <c r="AF81" s="91">
        <v>0</v>
      </c>
    </row>
    <row r="82" spans="1:32" ht="10.5">
      <c r="A82" s="81" t="s">
        <v>254</v>
      </c>
      <c r="B82" s="82" t="str">
        <f>VLOOKUP(A82,Классификаторы!$A:$B,2,FALSE)</f>
        <v>Продукт 5</v>
      </c>
      <c r="C82" s="86" t="s">
        <v>85</v>
      </c>
      <c r="D82" s="83">
        <f t="shared" si="39"/>
        <v>0</v>
      </c>
      <c r="E82" s="83">
        <f t="shared" si="39"/>
        <v>0</v>
      </c>
      <c r="F82" s="83">
        <f t="shared" si="39"/>
        <v>0</v>
      </c>
      <c r="G82" s="83">
        <f t="shared" si="39"/>
        <v>0</v>
      </c>
      <c r="H82" s="83">
        <f t="shared" si="39"/>
        <v>0</v>
      </c>
      <c r="I82" s="83">
        <f t="shared" si="39"/>
        <v>0</v>
      </c>
      <c r="J82" s="83">
        <f t="shared" si="39"/>
        <v>0</v>
      </c>
      <c r="K82" s="83">
        <f t="shared" si="39"/>
        <v>0</v>
      </c>
      <c r="L82" s="83">
        <f t="shared" si="39"/>
        <v>0</v>
      </c>
      <c r="M82" s="83">
        <f t="shared" si="39"/>
        <v>0</v>
      </c>
      <c r="N82" s="83">
        <f t="shared" si="39"/>
        <v>0</v>
      </c>
      <c r="O82" s="305">
        <f t="shared" si="39"/>
        <v>0</v>
      </c>
      <c r="P82" s="319">
        <f t="shared" si="40"/>
        <v>0</v>
      </c>
      <c r="R82" s="91">
        <v>0</v>
      </c>
      <c r="S82" s="91">
        <v>0</v>
      </c>
      <c r="T82" s="91">
        <v>0</v>
      </c>
      <c r="U82" s="91">
        <v>0</v>
      </c>
      <c r="V82" s="91">
        <v>1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  <c r="AC82" s="91">
        <v>0</v>
      </c>
      <c r="AD82" s="91">
        <v>0</v>
      </c>
      <c r="AE82" s="91">
        <v>0</v>
      </c>
      <c r="AF82" s="91">
        <v>0</v>
      </c>
    </row>
    <row r="83" spans="1:32" ht="10.5">
      <c r="A83" s="81" t="s">
        <v>255</v>
      </c>
      <c r="B83" s="82" t="str">
        <f>VLOOKUP(A83,Классификаторы!$A:$B,2,FALSE)</f>
        <v>Продукт 6</v>
      </c>
      <c r="C83" s="86" t="s">
        <v>85</v>
      </c>
      <c r="D83" s="83">
        <f t="shared" si="39"/>
        <v>0</v>
      </c>
      <c r="E83" s="83">
        <f t="shared" si="39"/>
        <v>0</v>
      </c>
      <c r="F83" s="83">
        <f t="shared" si="39"/>
        <v>0</v>
      </c>
      <c r="G83" s="83">
        <f t="shared" si="39"/>
        <v>0</v>
      </c>
      <c r="H83" s="83">
        <f t="shared" si="39"/>
        <v>0</v>
      </c>
      <c r="I83" s="83">
        <f t="shared" si="39"/>
        <v>0</v>
      </c>
      <c r="J83" s="83">
        <f t="shared" si="39"/>
        <v>0</v>
      </c>
      <c r="K83" s="83">
        <f t="shared" si="39"/>
        <v>0</v>
      </c>
      <c r="L83" s="83">
        <f t="shared" si="39"/>
        <v>0</v>
      </c>
      <c r="M83" s="83">
        <f t="shared" si="39"/>
        <v>0</v>
      </c>
      <c r="N83" s="83">
        <f t="shared" si="39"/>
        <v>0</v>
      </c>
      <c r="O83" s="305">
        <f t="shared" si="39"/>
        <v>0</v>
      </c>
      <c r="P83" s="319">
        <f t="shared" si="40"/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1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  <c r="AC83" s="91">
        <v>0</v>
      </c>
      <c r="AD83" s="91">
        <v>0</v>
      </c>
      <c r="AE83" s="91">
        <v>0</v>
      </c>
      <c r="AF83" s="91">
        <v>0</v>
      </c>
    </row>
    <row r="84" spans="1:32" ht="10.5">
      <c r="A84" s="81" t="s">
        <v>256</v>
      </c>
      <c r="B84" s="82" t="str">
        <f>VLOOKUP(A84,Классификаторы!$A:$B,2,FALSE)</f>
        <v>Продукт 7</v>
      </c>
      <c r="C84" s="86" t="s">
        <v>85</v>
      </c>
      <c r="D84" s="83">
        <f t="shared" si="39"/>
        <v>0</v>
      </c>
      <c r="E84" s="83">
        <f t="shared" si="39"/>
        <v>0</v>
      </c>
      <c r="F84" s="83">
        <f t="shared" si="39"/>
        <v>0</v>
      </c>
      <c r="G84" s="83">
        <f t="shared" si="39"/>
        <v>0</v>
      </c>
      <c r="H84" s="83">
        <f t="shared" si="39"/>
        <v>0</v>
      </c>
      <c r="I84" s="83">
        <f t="shared" si="39"/>
        <v>0</v>
      </c>
      <c r="J84" s="83">
        <f t="shared" si="39"/>
        <v>0</v>
      </c>
      <c r="K84" s="83">
        <f t="shared" si="39"/>
        <v>0</v>
      </c>
      <c r="L84" s="83">
        <f t="shared" si="39"/>
        <v>0</v>
      </c>
      <c r="M84" s="83">
        <f t="shared" si="39"/>
        <v>0</v>
      </c>
      <c r="N84" s="83">
        <f t="shared" si="39"/>
        <v>0</v>
      </c>
      <c r="O84" s="305">
        <f t="shared" si="39"/>
        <v>0</v>
      </c>
      <c r="P84" s="319">
        <f t="shared" si="40"/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1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1">
        <v>0</v>
      </c>
      <c r="AE84" s="91">
        <v>0</v>
      </c>
      <c r="AF84" s="91">
        <v>0</v>
      </c>
    </row>
    <row r="85" spans="1:32" ht="10.5">
      <c r="A85" s="81" t="s">
        <v>257</v>
      </c>
      <c r="B85" s="82" t="str">
        <f>VLOOKUP(A85,Классификаторы!$A:$B,2,FALSE)</f>
        <v>Продукт 8</v>
      </c>
      <c r="C85" s="86" t="s">
        <v>85</v>
      </c>
      <c r="D85" s="83">
        <f t="shared" si="39"/>
        <v>0</v>
      </c>
      <c r="E85" s="83">
        <f t="shared" si="39"/>
        <v>0</v>
      </c>
      <c r="F85" s="83">
        <f t="shared" si="39"/>
        <v>0</v>
      </c>
      <c r="G85" s="83">
        <f t="shared" si="39"/>
        <v>0</v>
      </c>
      <c r="H85" s="83">
        <f t="shared" si="39"/>
        <v>0</v>
      </c>
      <c r="I85" s="83">
        <f t="shared" si="39"/>
        <v>0</v>
      </c>
      <c r="J85" s="83">
        <f t="shared" si="39"/>
        <v>0</v>
      </c>
      <c r="K85" s="83">
        <f t="shared" si="39"/>
        <v>0</v>
      </c>
      <c r="L85" s="83">
        <f t="shared" si="39"/>
        <v>0</v>
      </c>
      <c r="M85" s="83">
        <f t="shared" si="39"/>
        <v>0</v>
      </c>
      <c r="N85" s="83">
        <f t="shared" si="39"/>
        <v>0</v>
      </c>
      <c r="O85" s="305">
        <f t="shared" si="39"/>
        <v>0</v>
      </c>
      <c r="P85" s="319">
        <f t="shared" si="40"/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1</v>
      </c>
      <c r="Z85" s="91">
        <v>0</v>
      </c>
      <c r="AA85" s="91">
        <v>0</v>
      </c>
      <c r="AB85" s="91">
        <v>0</v>
      </c>
      <c r="AC85" s="91">
        <v>0</v>
      </c>
      <c r="AD85" s="91">
        <v>0</v>
      </c>
      <c r="AE85" s="91">
        <v>0</v>
      </c>
      <c r="AF85" s="91">
        <v>0</v>
      </c>
    </row>
    <row r="86" spans="1:32" ht="10.5">
      <c r="A86" s="81" t="s">
        <v>258</v>
      </c>
      <c r="B86" s="82" t="str">
        <f>VLOOKUP(A86,Классификаторы!$A:$B,2,FALSE)</f>
        <v>Продукт 9</v>
      </c>
      <c r="C86" s="86" t="s">
        <v>85</v>
      </c>
      <c r="D86" s="83">
        <f t="shared" si="39"/>
        <v>0</v>
      </c>
      <c r="E86" s="83">
        <f t="shared" si="39"/>
        <v>0</v>
      </c>
      <c r="F86" s="83">
        <f t="shared" si="39"/>
        <v>0</v>
      </c>
      <c r="G86" s="83">
        <f t="shared" si="39"/>
        <v>0</v>
      </c>
      <c r="H86" s="83">
        <f t="shared" si="39"/>
        <v>0</v>
      </c>
      <c r="I86" s="83">
        <f t="shared" si="39"/>
        <v>0</v>
      </c>
      <c r="J86" s="83">
        <f t="shared" si="39"/>
        <v>0</v>
      </c>
      <c r="K86" s="83">
        <f t="shared" si="39"/>
        <v>0</v>
      </c>
      <c r="L86" s="83">
        <f t="shared" si="39"/>
        <v>0</v>
      </c>
      <c r="M86" s="83">
        <f t="shared" si="39"/>
        <v>0</v>
      </c>
      <c r="N86" s="83">
        <f t="shared" si="39"/>
        <v>0</v>
      </c>
      <c r="O86" s="305">
        <f t="shared" si="39"/>
        <v>0</v>
      </c>
      <c r="P86" s="319">
        <f t="shared" si="40"/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1</v>
      </c>
      <c r="AA86" s="91">
        <v>0</v>
      </c>
      <c r="AB86" s="91">
        <v>0</v>
      </c>
      <c r="AC86" s="91">
        <v>0</v>
      </c>
      <c r="AD86" s="91">
        <v>0</v>
      </c>
      <c r="AE86" s="91">
        <v>0</v>
      </c>
      <c r="AF86" s="91">
        <v>0</v>
      </c>
    </row>
    <row r="87" spans="1:32" ht="10.5">
      <c r="A87" s="81" t="s">
        <v>259</v>
      </c>
      <c r="B87" s="82" t="str">
        <f>VLOOKUP(A87,Классификаторы!$A:$B,2,FALSE)</f>
        <v>Продукт 10</v>
      </c>
      <c r="C87" s="86" t="s">
        <v>85</v>
      </c>
      <c r="D87" s="83">
        <f t="shared" si="39"/>
        <v>0</v>
      </c>
      <c r="E87" s="83">
        <f t="shared" si="39"/>
        <v>0</v>
      </c>
      <c r="F87" s="83">
        <f t="shared" si="39"/>
        <v>0</v>
      </c>
      <c r="G87" s="83">
        <f t="shared" si="39"/>
        <v>0</v>
      </c>
      <c r="H87" s="83">
        <f t="shared" si="39"/>
        <v>0</v>
      </c>
      <c r="I87" s="83">
        <f t="shared" si="39"/>
        <v>0</v>
      </c>
      <c r="J87" s="83">
        <f t="shared" si="39"/>
        <v>0</v>
      </c>
      <c r="K87" s="83">
        <f t="shared" si="39"/>
        <v>0</v>
      </c>
      <c r="L87" s="83">
        <f t="shared" si="39"/>
        <v>0</v>
      </c>
      <c r="M87" s="83">
        <f t="shared" si="39"/>
        <v>0</v>
      </c>
      <c r="N87" s="83">
        <f t="shared" si="39"/>
        <v>0</v>
      </c>
      <c r="O87" s="305">
        <f t="shared" si="39"/>
        <v>0</v>
      </c>
      <c r="P87" s="319">
        <f t="shared" si="40"/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1</v>
      </c>
      <c r="AB87" s="91">
        <v>0</v>
      </c>
      <c r="AC87" s="91">
        <v>0</v>
      </c>
      <c r="AD87" s="91">
        <v>0</v>
      </c>
      <c r="AE87" s="91">
        <v>0</v>
      </c>
      <c r="AF87" s="91">
        <v>0</v>
      </c>
    </row>
    <row r="88" spans="1:32" ht="10.5">
      <c r="A88" s="81" t="s">
        <v>264</v>
      </c>
      <c r="B88" s="82" t="str">
        <f>VLOOKUP(A88,Классификаторы!$A:$B,2,FALSE)</f>
        <v>Продукт 11</v>
      </c>
      <c r="C88" s="86" t="s">
        <v>85</v>
      </c>
      <c r="D88" s="83">
        <f t="shared" si="39"/>
        <v>0</v>
      </c>
      <c r="E88" s="83">
        <f t="shared" si="39"/>
        <v>0</v>
      </c>
      <c r="F88" s="83">
        <f t="shared" si="39"/>
        <v>0</v>
      </c>
      <c r="G88" s="83">
        <f t="shared" si="39"/>
        <v>0</v>
      </c>
      <c r="H88" s="83">
        <f t="shared" si="39"/>
        <v>0</v>
      </c>
      <c r="I88" s="83">
        <f t="shared" si="39"/>
        <v>0</v>
      </c>
      <c r="J88" s="83">
        <f t="shared" si="39"/>
        <v>0</v>
      </c>
      <c r="K88" s="83">
        <f t="shared" si="39"/>
        <v>0</v>
      </c>
      <c r="L88" s="83">
        <f t="shared" si="39"/>
        <v>0</v>
      </c>
      <c r="M88" s="83">
        <f t="shared" si="39"/>
        <v>0</v>
      </c>
      <c r="N88" s="83">
        <f t="shared" si="39"/>
        <v>0</v>
      </c>
      <c r="O88" s="305">
        <f t="shared" si="39"/>
        <v>0</v>
      </c>
      <c r="P88" s="319">
        <f t="shared" si="40"/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1</v>
      </c>
      <c r="AC88" s="91">
        <v>0</v>
      </c>
      <c r="AD88" s="91">
        <v>0</v>
      </c>
      <c r="AE88" s="91">
        <v>0</v>
      </c>
      <c r="AF88" s="91">
        <v>0</v>
      </c>
    </row>
    <row r="89" spans="1:32" ht="10.5">
      <c r="A89" s="81" t="s">
        <v>265</v>
      </c>
      <c r="B89" s="82" t="str">
        <f>VLOOKUP(A89,Классификаторы!$A:$B,2,FALSE)</f>
        <v>Продукт 12</v>
      </c>
      <c r="C89" s="86" t="s">
        <v>85</v>
      </c>
      <c r="D89" s="83">
        <f t="shared" si="39"/>
        <v>0</v>
      </c>
      <c r="E89" s="83">
        <f t="shared" si="39"/>
        <v>0</v>
      </c>
      <c r="F89" s="83">
        <f t="shared" si="39"/>
        <v>0</v>
      </c>
      <c r="G89" s="83">
        <f t="shared" si="39"/>
        <v>0</v>
      </c>
      <c r="H89" s="83">
        <f t="shared" si="39"/>
        <v>0</v>
      </c>
      <c r="I89" s="83">
        <f t="shared" si="39"/>
        <v>0</v>
      </c>
      <c r="J89" s="83">
        <f t="shared" si="39"/>
        <v>0</v>
      </c>
      <c r="K89" s="83">
        <f t="shared" si="39"/>
        <v>0</v>
      </c>
      <c r="L89" s="83">
        <f t="shared" si="39"/>
        <v>0</v>
      </c>
      <c r="M89" s="83">
        <f t="shared" si="39"/>
        <v>0</v>
      </c>
      <c r="N89" s="83">
        <f t="shared" si="39"/>
        <v>0</v>
      </c>
      <c r="O89" s="305">
        <f t="shared" si="39"/>
        <v>0</v>
      </c>
      <c r="P89" s="319">
        <f t="shared" si="40"/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  <c r="AC89" s="91">
        <v>1</v>
      </c>
      <c r="AD89" s="91">
        <v>0</v>
      </c>
      <c r="AE89" s="91">
        <v>0</v>
      </c>
      <c r="AF89" s="91">
        <v>0</v>
      </c>
    </row>
    <row r="90" spans="1:32" ht="10.5">
      <c r="A90" s="81" t="s">
        <v>267</v>
      </c>
      <c r="B90" s="82" t="str">
        <f>VLOOKUP(A90,Классификаторы!$A:$B,2,FALSE)</f>
        <v>Продукт 13</v>
      </c>
      <c r="C90" s="86" t="s">
        <v>85</v>
      </c>
      <c r="D90" s="83">
        <f t="shared" si="39"/>
        <v>0</v>
      </c>
      <c r="E90" s="83">
        <f t="shared" si="39"/>
        <v>0</v>
      </c>
      <c r="F90" s="83">
        <f t="shared" si="39"/>
        <v>0</v>
      </c>
      <c r="G90" s="83">
        <f t="shared" si="39"/>
        <v>0</v>
      </c>
      <c r="H90" s="83">
        <f t="shared" si="39"/>
        <v>0</v>
      </c>
      <c r="I90" s="83">
        <f t="shared" si="39"/>
        <v>0</v>
      </c>
      <c r="J90" s="83">
        <f t="shared" si="39"/>
        <v>0</v>
      </c>
      <c r="K90" s="83">
        <f t="shared" si="39"/>
        <v>0</v>
      </c>
      <c r="L90" s="83">
        <f t="shared" si="39"/>
        <v>0</v>
      </c>
      <c r="M90" s="83">
        <f t="shared" si="39"/>
        <v>0</v>
      </c>
      <c r="N90" s="83">
        <f t="shared" si="39"/>
        <v>0</v>
      </c>
      <c r="O90" s="305">
        <f t="shared" si="39"/>
        <v>0</v>
      </c>
      <c r="P90" s="319">
        <f t="shared" si="40"/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  <c r="AC90" s="91">
        <v>0</v>
      </c>
      <c r="AD90" s="91">
        <v>1</v>
      </c>
      <c r="AE90" s="91">
        <v>0</v>
      </c>
      <c r="AF90" s="91">
        <v>0</v>
      </c>
    </row>
    <row r="91" spans="1:32" ht="10.5">
      <c r="A91" s="81" t="s">
        <v>268</v>
      </c>
      <c r="B91" s="82" t="str">
        <f>VLOOKUP(A91,Классификаторы!$A:$B,2,FALSE)</f>
        <v>Продукт 14</v>
      </c>
      <c r="C91" s="86" t="s">
        <v>85</v>
      </c>
      <c r="D91" s="83">
        <f t="shared" si="39"/>
        <v>0</v>
      </c>
      <c r="E91" s="83">
        <f t="shared" si="39"/>
        <v>0</v>
      </c>
      <c r="F91" s="83">
        <f t="shared" si="39"/>
        <v>0</v>
      </c>
      <c r="G91" s="83">
        <f t="shared" si="39"/>
        <v>0</v>
      </c>
      <c r="H91" s="83">
        <f t="shared" si="39"/>
        <v>0</v>
      </c>
      <c r="I91" s="83">
        <f t="shared" si="39"/>
        <v>0</v>
      </c>
      <c r="J91" s="83">
        <f t="shared" si="39"/>
        <v>0</v>
      </c>
      <c r="K91" s="83">
        <f t="shared" si="39"/>
        <v>0</v>
      </c>
      <c r="L91" s="83">
        <f t="shared" si="39"/>
        <v>0</v>
      </c>
      <c r="M91" s="83">
        <f t="shared" si="39"/>
        <v>0</v>
      </c>
      <c r="N91" s="83">
        <f t="shared" si="39"/>
        <v>0</v>
      </c>
      <c r="O91" s="305">
        <f t="shared" si="39"/>
        <v>0</v>
      </c>
      <c r="P91" s="319">
        <f t="shared" si="40"/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  <c r="AC91" s="91">
        <v>0</v>
      </c>
      <c r="AD91" s="91">
        <v>0</v>
      </c>
      <c r="AE91" s="91">
        <v>1</v>
      </c>
      <c r="AF91" s="91">
        <v>0</v>
      </c>
    </row>
    <row r="92" spans="1:32" ht="10.5">
      <c r="A92" s="81" t="s">
        <v>269</v>
      </c>
      <c r="B92" s="82" t="str">
        <f>VLOOKUP(A92,Классификаторы!$A:$B,2,FALSE)</f>
        <v>Продукт 15</v>
      </c>
      <c r="C92" s="86" t="s">
        <v>85</v>
      </c>
      <c r="D92" s="112">
        <f t="shared" si="39"/>
        <v>0</v>
      </c>
      <c r="E92" s="112">
        <f t="shared" si="39"/>
        <v>0</v>
      </c>
      <c r="F92" s="112">
        <f t="shared" si="39"/>
        <v>0</v>
      </c>
      <c r="G92" s="112">
        <f t="shared" si="39"/>
        <v>0</v>
      </c>
      <c r="H92" s="112">
        <f t="shared" si="39"/>
        <v>0</v>
      </c>
      <c r="I92" s="112">
        <f t="shared" si="39"/>
        <v>0</v>
      </c>
      <c r="J92" s="112">
        <f t="shared" si="39"/>
        <v>0</v>
      </c>
      <c r="K92" s="112">
        <f t="shared" si="39"/>
        <v>0</v>
      </c>
      <c r="L92" s="112">
        <f t="shared" si="39"/>
        <v>0</v>
      </c>
      <c r="M92" s="112">
        <f t="shared" si="39"/>
        <v>0</v>
      </c>
      <c r="N92" s="112">
        <f t="shared" si="39"/>
        <v>0</v>
      </c>
      <c r="O92" s="370">
        <f t="shared" si="39"/>
        <v>0</v>
      </c>
      <c r="P92" s="194">
        <f t="shared" si="40"/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  <c r="AC92" s="91">
        <v>0</v>
      </c>
      <c r="AD92" s="91">
        <v>0</v>
      </c>
      <c r="AE92" s="91">
        <v>0</v>
      </c>
      <c r="AF92" s="91">
        <v>1</v>
      </c>
    </row>
    <row r="93" spans="1:16" ht="10.5">
      <c r="A93" s="93" t="s">
        <v>64</v>
      </c>
      <c r="B93" s="89"/>
      <c r="C93" s="310" t="s">
        <v>85</v>
      </c>
      <c r="D93" s="314" t="s">
        <v>342</v>
      </c>
      <c r="E93" s="311" t="s">
        <v>342</v>
      </c>
      <c r="F93" s="311" t="s">
        <v>342</v>
      </c>
      <c r="G93" s="311" t="s">
        <v>342</v>
      </c>
      <c r="H93" s="311" t="s">
        <v>342</v>
      </c>
      <c r="I93" s="311" t="s">
        <v>342</v>
      </c>
      <c r="J93" s="311" t="s">
        <v>342</v>
      </c>
      <c r="K93" s="311" t="s">
        <v>342</v>
      </c>
      <c r="L93" s="311" t="s">
        <v>342</v>
      </c>
      <c r="M93" s="311" t="s">
        <v>342</v>
      </c>
      <c r="N93" s="311" t="s">
        <v>342</v>
      </c>
      <c r="O93" s="383" t="s">
        <v>342</v>
      </c>
      <c r="P93" s="383" t="s">
        <v>342</v>
      </c>
    </row>
    <row r="94" spans="1:16" ht="10.5">
      <c r="A94" s="364"/>
      <c r="B94" s="89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387"/>
      <c r="P94" s="306"/>
    </row>
    <row r="95" spans="1:16" ht="21">
      <c r="A95" s="317" t="s">
        <v>163</v>
      </c>
      <c r="B95" s="17" t="s">
        <v>344</v>
      </c>
      <c r="D95" s="88">
        <f>SUM(D78:D87)</f>
        <v>0</v>
      </c>
      <c r="E95" s="88">
        <f aca="true" t="shared" si="41" ref="E95:N95">SUM(E78:E87)</f>
        <v>0</v>
      </c>
      <c r="F95" s="88">
        <f t="shared" si="41"/>
        <v>0</v>
      </c>
      <c r="G95" s="88">
        <f t="shared" si="41"/>
        <v>0</v>
      </c>
      <c r="H95" s="88">
        <f t="shared" si="41"/>
        <v>0</v>
      </c>
      <c r="I95" s="88">
        <f t="shared" si="41"/>
        <v>0</v>
      </c>
      <c r="J95" s="88">
        <f t="shared" si="41"/>
        <v>0</v>
      </c>
      <c r="K95" s="88">
        <f t="shared" si="41"/>
        <v>0</v>
      </c>
      <c r="L95" s="88">
        <f t="shared" si="41"/>
        <v>0</v>
      </c>
      <c r="M95" s="88">
        <f t="shared" si="41"/>
        <v>0</v>
      </c>
      <c r="N95" s="88">
        <f t="shared" si="41"/>
        <v>0</v>
      </c>
      <c r="O95" s="88">
        <f>SUM(O78:O87)</f>
        <v>0</v>
      </c>
      <c r="P95" s="144">
        <f>SUM(D95:O95)</f>
        <v>0</v>
      </c>
    </row>
    <row r="96" spans="1:16" s="34" customFormat="1" ht="10.5">
      <c r="A96" s="388"/>
      <c r="B96" s="337" t="s">
        <v>345</v>
      </c>
      <c r="C96" s="388"/>
      <c r="D96" s="308">
        <f>SUM(D88:D93)</f>
        <v>0</v>
      </c>
      <c r="E96" s="308">
        <f aca="true" t="shared" si="42" ref="E96:N96">SUM(E88:E93)</f>
        <v>0</v>
      </c>
      <c r="F96" s="308">
        <f t="shared" si="42"/>
        <v>0</v>
      </c>
      <c r="G96" s="308">
        <f t="shared" si="42"/>
        <v>0</v>
      </c>
      <c r="H96" s="308">
        <f t="shared" si="42"/>
        <v>0</v>
      </c>
      <c r="I96" s="308">
        <f t="shared" si="42"/>
        <v>0</v>
      </c>
      <c r="J96" s="308">
        <f t="shared" si="42"/>
        <v>0</v>
      </c>
      <c r="K96" s="308">
        <f t="shared" si="42"/>
        <v>0</v>
      </c>
      <c r="L96" s="308">
        <f t="shared" si="42"/>
        <v>0</v>
      </c>
      <c r="M96" s="308">
        <f t="shared" si="42"/>
        <v>0</v>
      </c>
      <c r="N96" s="308">
        <f t="shared" si="42"/>
        <v>0</v>
      </c>
      <c r="O96" s="308">
        <f>SUM(O88:O93)</f>
        <v>0</v>
      </c>
      <c r="P96" s="140">
        <f>SUM(D96:O96)</f>
        <v>0</v>
      </c>
    </row>
  </sheetData>
  <printOptions/>
  <pageMargins left="0.75" right="0.75" top="0.71" bottom="1.32" header="0.5" footer="0.5"/>
  <pageSetup horizontalDpi="300" verticalDpi="300" orientation="landscape" paperSize="9" scale="79" r:id="rId2"/>
  <headerFooter alignWithMargins="0">
    <oddHeader>&amp;LФинансовая бюджетная модель (производство)</oddHeader>
    <oddFooter>&amp;LСтраница &amp;P&amp;C&amp;G</oddFooter>
  </headerFooter>
  <rowBreaks count="2" manualBreakCount="2">
    <brk id="28" max="255" man="1"/>
    <brk id="75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P28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125" style="145" customWidth="1"/>
    <col min="2" max="2" width="18.625" style="145" customWidth="1"/>
    <col min="3" max="3" width="25.25390625" style="164" customWidth="1"/>
    <col min="4" max="15" width="9.75390625" style="95" customWidth="1"/>
    <col min="16" max="16" width="10.625" style="54" customWidth="1"/>
    <col min="17" max="16384" width="9.125" style="95" customWidth="1"/>
  </cols>
  <sheetData>
    <row r="1" ht="18">
      <c r="C1" s="96" t="s">
        <v>323</v>
      </c>
    </row>
    <row r="2" spans="1:16" s="27" customFormat="1" ht="11.25" thickBot="1">
      <c r="A2" s="35"/>
      <c r="B2" s="35"/>
      <c r="C2" s="79"/>
      <c r="P2" s="34"/>
    </row>
    <row r="3" spans="1:16" s="27" customFormat="1" ht="10.5">
      <c r="A3" s="80" t="s">
        <v>0</v>
      </c>
      <c r="B3" s="55" t="s">
        <v>159</v>
      </c>
      <c r="C3" s="55" t="s">
        <v>66</v>
      </c>
      <c r="D3" s="56">
        <v>39448</v>
      </c>
      <c r="E3" s="56">
        <v>39479</v>
      </c>
      <c r="F3" s="56">
        <v>39508</v>
      </c>
      <c r="G3" s="56">
        <v>39539</v>
      </c>
      <c r="H3" s="56">
        <v>39569</v>
      </c>
      <c r="I3" s="56">
        <v>39600</v>
      </c>
      <c r="J3" s="56">
        <v>39630</v>
      </c>
      <c r="K3" s="56">
        <v>39661</v>
      </c>
      <c r="L3" s="56">
        <v>39692</v>
      </c>
      <c r="M3" s="56">
        <v>39722</v>
      </c>
      <c r="N3" s="56">
        <v>39753</v>
      </c>
      <c r="O3" s="56">
        <v>39783</v>
      </c>
      <c r="P3" s="56" t="s">
        <v>67</v>
      </c>
    </row>
    <row r="4" spans="1:16" s="27" customFormat="1" ht="10.5">
      <c r="A4" s="146" t="s">
        <v>26</v>
      </c>
      <c r="B4" s="147" t="str">
        <f>VLOOKUP(A4,Классификаторы!$A:$B,2,FALSE)</f>
        <v>Цех 1</v>
      </c>
      <c r="C4" s="148" t="s">
        <v>411</v>
      </c>
      <c r="D4" s="149">
        <f>SUMIF('Технологическая карта 1'!$DF$4:$DW$4,$C4,'Технологическая карта 1'!$DF$21:$DW$21)</f>
        <v>0</v>
      </c>
      <c r="E4" s="149">
        <f>SUMIF('Технологическая карта 1'!$DF$4:$DW$4,$C4,'Технологическая карта 1'!$DF$29:$DW$29)</f>
        <v>0</v>
      </c>
      <c r="F4" s="149">
        <f>SUMIF('Технологическая карта 1'!$DF$4:$DW$4,$C4,'Технологическая карта 1'!$DF$37:$DW$37)</f>
        <v>0</v>
      </c>
      <c r="G4" s="149">
        <f>SUMIF('Технологическая карта 1'!$DF$4:$DW$4,$C4,'Технологическая карта 1'!$DF$45:$DW$45)</f>
        <v>0</v>
      </c>
      <c r="H4" s="149">
        <f>SUMIF('Технологическая карта 1'!$DF$4:$DW$4,$C4,'Технологическая карта 1'!$DF$53:$DW$53)</f>
        <v>0</v>
      </c>
      <c r="I4" s="149">
        <f>SUMIF('Технологическая карта 1'!$DF$4:$DW$4,$C4,'Технологическая карта 1'!$DF$61:$DW$61)</f>
        <v>0</v>
      </c>
      <c r="J4" s="149">
        <f>SUMIF('Технологическая карта 1'!$DF$4:$DW$4,$C4,'Технологическая карта 1'!$DF$69:$DW$69)</f>
        <v>0</v>
      </c>
      <c r="K4" s="149">
        <f>SUMIF('Технологическая карта 1'!$DF$4:$DW$4,$C4,'Технологическая карта 1'!$DF$77:$DW$77)</f>
        <v>0</v>
      </c>
      <c r="L4" s="149">
        <f>SUMIF('Технологическая карта 1'!$DF$4:$DW$4,$C4,'Технологическая карта 1'!$DF$85:$DW$85)</f>
        <v>0</v>
      </c>
      <c r="M4" s="149">
        <f>SUMIF('Технологическая карта 1'!$DF$4:$DW$4,$C4,'Технологическая карта 1'!$DF$93:$DW$93)</f>
        <v>0</v>
      </c>
      <c r="N4" s="149">
        <f>SUMIF('Технологическая карта 1'!$DF$4:$DW$4,$C4,'Технологическая карта 1'!$DF$101:$DW$101)</f>
        <v>0</v>
      </c>
      <c r="O4" s="150">
        <f>SUMIF('Технологическая карта 1'!$DF$4:$DW$4,$C4,'Технологическая карта 1'!$DF$109:$DW$109)</f>
        <v>0</v>
      </c>
      <c r="P4" s="400">
        <f>SUM(D4:O4)</f>
        <v>0</v>
      </c>
    </row>
    <row r="5" spans="1:16" s="27" customFormat="1" ht="10.5">
      <c r="A5" s="146"/>
      <c r="B5" s="152" t="s">
        <v>64</v>
      </c>
      <c r="C5" s="153"/>
      <c r="D5" s="415" t="s">
        <v>342</v>
      </c>
      <c r="E5" s="415" t="s">
        <v>342</v>
      </c>
      <c r="F5" s="415" t="s">
        <v>342</v>
      </c>
      <c r="G5" s="415" t="s">
        <v>342</v>
      </c>
      <c r="H5" s="415" t="s">
        <v>342</v>
      </c>
      <c r="I5" s="415" t="s">
        <v>342</v>
      </c>
      <c r="J5" s="415" t="s">
        <v>342</v>
      </c>
      <c r="K5" s="415" t="s">
        <v>342</v>
      </c>
      <c r="L5" s="415" t="s">
        <v>342</v>
      </c>
      <c r="M5" s="415" t="s">
        <v>342</v>
      </c>
      <c r="N5" s="415" t="s">
        <v>342</v>
      </c>
      <c r="O5" s="416" t="s">
        <v>342</v>
      </c>
      <c r="P5" s="417" t="s">
        <v>342</v>
      </c>
    </row>
    <row r="6" spans="1:16" s="27" customFormat="1" ht="10.5">
      <c r="A6" s="146" t="s">
        <v>27</v>
      </c>
      <c r="B6" s="147" t="str">
        <f>VLOOKUP(A6,Классификаторы!$A:$B,2,FALSE)</f>
        <v>Цех 2</v>
      </c>
      <c r="C6" s="148" t="s">
        <v>412</v>
      </c>
      <c r="D6" s="149">
        <f>SUMIF('Технологическая карта 1'!$DF$4:$DW$4,$C6,'Технологическая карта 1'!$DF$21:$DW$21)</f>
        <v>0</v>
      </c>
      <c r="E6" s="149">
        <f>SUMIF('Технологическая карта 1'!$DF$4:$DW$4,$C6,'Технологическая карта 1'!$DF$29:$DW$29)</f>
        <v>0</v>
      </c>
      <c r="F6" s="149">
        <f>SUMIF('Технологическая карта 1'!$DF$4:$DW$4,$C6,'Технологическая карта 1'!$DF$37:$DW$37)</f>
        <v>0</v>
      </c>
      <c r="G6" s="149">
        <f>SUMIF('Технологическая карта 1'!$DF$4:$DW$4,$C6,'Технологическая карта 1'!$DF$45:$DW$45)</f>
        <v>0</v>
      </c>
      <c r="H6" s="149">
        <f>SUMIF('Технологическая карта 1'!$DF$4:$DW$4,$C6,'Технологическая карта 1'!$DF$53:$DW$53)</f>
        <v>0</v>
      </c>
      <c r="I6" s="149">
        <f>SUMIF('Технологическая карта 1'!$DF$4:$DW$4,$C6,'Технологическая карта 1'!$DF$61:$DW$61)</f>
        <v>0</v>
      </c>
      <c r="J6" s="149">
        <f>SUMIF('Технологическая карта 1'!$DF$4:$DW$4,$C6,'Технологическая карта 1'!$DF$69:$DW$69)</f>
        <v>0</v>
      </c>
      <c r="K6" s="149">
        <f>SUMIF('Технологическая карта 1'!$DF$4:$DW$4,$C6,'Технологическая карта 1'!$DF$77:$DW$77)</f>
        <v>0</v>
      </c>
      <c r="L6" s="149">
        <f>SUMIF('Технологическая карта 1'!$DF$4:$DW$4,$C6,'Технологическая карта 1'!$DF$85:$DW$85)</f>
        <v>0</v>
      </c>
      <c r="M6" s="149">
        <f>SUMIF('Технологическая карта 1'!$DF$4:$DW$4,$C6,'Технологическая карта 1'!$DF$93:$DW$93)</f>
        <v>0</v>
      </c>
      <c r="N6" s="149">
        <f>SUMIF('Технологическая карта 1'!$DF$4:$DW$4,$C6,'Технологическая карта 1'!$DF$101:$DW$101)</f>
        <v>0</v>
      </c>
      <c r="O6" s="150">
        <f>SUMIF('Технологическая карта 1'!$DF$4:$DW$4,$C6,'Технологическая карта 1'!$DF$109:$DW$109)</f>
        <v>0</v>
      </c>
      <c r="P6" s="400">
        <f aca="true" t="shared" si="0" ref="P6:P11">SUM(D6:O6)</f>
        <v>0</v>
      </c>
    </row>
    <row r="7" spans="1:16" s="27" customFormat="1" ht="10.5">
      <c r="A7" s="401"/>
      <c r="B7" s="152" t="s">
        <v>64</v>
      </c>
      <c r="C7" s="153"/>
      <c r="D7" s="415" t="s">
        <v>342</v>
      </c>
      <c r="E7" s="415" t="s">
        <v>342</v>
      </c>
      <c r="F7" s="415" t="s">
        <v>342</v>
      </c>
      <c r="G7" s="415" t="s">
        <v>342</v>
      </c>
      <c r="H7" s="415" t="s">
        <v>342</v>
      </c>
      <c r="I7" s="415" t="s">
        <v>342</v>
      </c>
      <c r="J7" s="415" t="s">
        <v>342</v>
      </c>
      <c r="K7" s="415" t="s">
        <v>342</v>
      </c>
      <c r="L7" s="415" t="s">
        <v>342</v>
      </c>
      <c r="M7" s="415" t="s">
        <v>342</v>
      </c>
      <c r="N7" s="415" t="s">
        <v>342</v>
      </c>
      <c r="O7" s="416" t="s">
        <v>342</v>
      </c>
      <c r="P7" s="417" t="s">
        <v>342</v>
      </c>
    </row>
    <row r="8" spans="1:16" s="27" customFormat="1" ht="10.5">
      <c r="A8" s="155" t="s">
        <v>28</v>
      </c>
      <c r="B8" s="156" t="str">
        <f>VLOOKUP(A8,Классификаторы!$A:$B,2,FALSE)</f>
        <v>Цех 3</v>
      </c>
      <c r="C8" s="10" t="s">
        <v>386</v>
      </c>
      <c r="D8" s="157">
        <f>SUMIF('Технологическая карта 1'!$DF$4:$DW$4,$C8,'Технологическая карта 1'!$DF$21:$DW$21)</f>
        <v>0</v>
      </c>
      <c r="E8" s="157">
        <f>SUMIF('Технологическая карта 1'!$DF$4:$DW$4,$C8,'Технологическая карта 1'!$DF$29:$DW$29)</f>
        <v>0</v>
      </c>
      <c r="F8" s="157">
        <f>SUMIF('Технологическая карта 1'!$DF$4:$DW$4,$C8,'Технологическая карта 1'!$DF$37:$DW$37)</f>
        <v>0</v>
      </c>
      <c r="G8" s="157">
        <f>SUMIF('Технологическая карта 1'!$DF$4:$DW$4,$C8,'Технологическая карта 1'!$DF$45:$DW$45)</f>
        <v>0</v>
      </c>
      <c r="H8" s="157">
        <f>SUMIF('Технологическая карта 1'!$DF$4:$DW$4,$C8,'Технологическая карта 1'!$DF$53:$DW$53)</f>
        <v>0</v>
      </c>
      <c r="I8" s="157">
        <f>SUMIF('Технологическая карта 1'!$DF$4:$DW$4,$C8,'Технологическая карта 1'!$DF$61:$DW$61)</f>
        <v>0</v>
      </c>
      <c r="J8" s="157">
        <f>SUMIF('Технологическая карта 1'!$DF$4:$DW$4,$C8,'Технологическая карта 1'!$DF$69:$DW$69)</f>
        <v>0</v>
      </c>
      <c r="K8" s="157">
        <f>SUMIF('Технологическая карта 1'!$DF$4:$DW$4,$C8,'Технологическая карта 1'!$DF$77:$DW$77)</f>
        <v>0</v>
      </c>
      <c r="L8" s="157">
        <f>SUMIF('Технологическая карта 1'!$DF$4:$DW$4,$C8,'Технологическая карта 1'!$DF$85:$DW$85)</f>
        <v>0</v>
      </c>
      <c r="M8" s="157">
        <f>SUMIF('Технологическая карта 1'!$DF$4:$DW$4,$C8,'Технологическая карта 1'!$DF$93:$DW$93)</f>
        <v>0</v>
      </c>
      <c r="N8" s="157">
        <f>SUMIF('Технологическая карта 1'!$DF$4:$DW$4,$C8,'Технологическая карта 1'!$DF$101:$DW$101)</f>
        <v>0</v>
      </c>
      <c r="O8" s="158">
        <f>SUMIF('Технологическая карта 1'!$DF$4:$DW$4,$C8,'Технологическая карта 1'!$DF$109:$DW$109)</f>
        <v>0</v>
      </c>
      <c r="P8" s="151">
        <f t="shared" si="0"/>
        <v>0</v>
      </c>
    </row>
    <row r="9" spans="1:16" s="27" customFormat="1" ht="10.5">
      <c r="A9" s="159" t="s">
        <v>28</v>
      </c>
      <c r="B9" s="160" t="str">
        <f>VLOOKUP(A9,Классификаторы!$A:$B,2,FALSE)</f>
        <v>Цех 3</v>
      </c>
      <c r="C9" s="10" t="s">
        <v>387</v>
      </c>
      <c r="D9" s="113">
        <f>SUMIF('Технологическая карта 1'!$DF$4:$DW$4,$C9,'Технологическая карта 1'!$DF$21:$DW$21)</f>
        <v>0</v>
      </c>
      <c r="E9" s="113">
        <f>SUMIF('Технологическая карта 1'!$DF$4:$DW$4,$C9,'Технологическая карта 1'!$DF$29:$DW$29)</f>
        <v>0</v>
      </c>
      <c r="F9" s="113">
        <f>SUMIF('Технологическая карта 1'!$DF$4:$DW$4,$C9,'Технологическая карта 1'!$DF$37:$DW$37)</f>
        <v>0</v>
      </c>
      <c r="G9" s="113">
        <f>SUMIF('Технологическая карта 1'!$DF$4:$DW$4,$C9,'Технологическая карта 1'!$DF$45:$DW$45)</f>
        <v>0</v>
      </c>
      <c r="H9" s="113">
        <f>SUMIF('Технологическая карта 1'!$DF$4:$DW$4,$C9,'Технологическая карта 1'!$DF$53:$DW$53)</f>
        <v>0</v>
      </c>
      <c r="I9" s="113">
        <f>SUMIF('Технологическая карта 1'!$DF$4:$DW$4,$C9,'Технологическая карта 1'!$DF$61:$DW$61)</f>
        <v>0</v>
      </c>
      <c r="J9" s="113">
        <f>SUMIF('Технологическая карта 1'!$DF$4:$DW$4,$C9,'Технологическая карта 1'!$DF$69:$DW$69)</f>
        <v>0</v>
      </c>
      <c r="K9" s="113">
        <f>SUMIF('Технологическая карта 1'!$DF$4:$DW$4,$C9,'Технологическая карта 1'!$DF$77:$DW$77)</f>
        <v>0</v>
      </c>
      <c r="L9" s="113">
        <f>SUMIF('Технологическая карта 1'!$DF$4:$DW$4,$C9,'Технологическая карта 1'!$DF$85:$DW$85)</f>
        <v>0</v>
      </c>
      <c r="M9" s="113">
        <f>SUMIF('Технологическая карта 1'!$DF$4:$DW$4,$C9,'Технологическая карта 1'!$DF$93:$DW$93)</f>
        <v>0</v>
      </c>
      <c r="N9" s="113">
        <f>SUMIF('Технологическая карта 1'!$DF$4:$DW$4,$C9,'Технологическая карта 1'!$DF$101:$DW$101)</f>
        <v>0</v>
      </c>
      <c r="O9" s="161">
        <f>SUMIF('Технологическая карта 1'!$DF$4:$DW$4,$C9,'Технологическая карта 1'!$DF$109:$DW$109)</f>
        <v>0</v>
      </c>
      <c r="P9" s="154">
        <f t="shared" si="0"/>
        <v>0</v>
      </c>
    </row>
    <row r="10" spans="1:16" s="27" customFormat="1" ht="10.5">
      <c r="A10" s="159" t="s">
        <v>28</v>
      </c>
      <c r="B10" s="160" t="str">
        <f>VLOOKUP(A10,Классификаторы!$A:$B,2,FALSE)</f>
        <v>Цех 3</v>
      </c>
      <c r="C10" s="10" t="s">
        <v>388</v>
      </c>
      <c r="D10" s="113">
        <f>SUMIF('Технологическая карта 1'!$DF$4:$DW$4,$C10,'Технологическая карта 1'!$DF$21:$DW$21)</f>
        <v>0</v>
      </c>
      <c r="E10" s="113">
        <f>SUMIF('Технологическая карта 1'!$DF$4:$DW$4,$C10,'Технологическая карта 1'!$DF$29:$DW$29)</f>
        <v>0</v>
      </c>
      <c r="F10" s="113">
        <f>SUMIF('Технологическая карта 1'!$DF$4:$DW$4,$C10,'Технологическая карта 1'!$DF$37:$DW$37)</f>
        <v>0</v>
      </c>
      <c r="G10" s="113">
        <f>SUMIF('Технологическая карта 1'!$DF$4:$DW$4,$C10,'Технологическая карта 1'!$DF$45:$DW$45)</f>
        <v>0</v>
      </c>
      <c r="H10" s="113">
        <f>SUMIF('Технологическая карта 1'!$DF$4:$DW$4,$C10,'Технологическая карта 1'!$DF$53:$DW$53)</f>
        <v>0</v>
      </c>
      <c r="I10" s="113">
        <f>SUMIF('Технологическая карта 1'!$DF$4:$DW$4,$C10,'Технологическая карта 1'!$DF$61:$DW$61)</f>
        <v>0</v>
      </c>
      <c r="J10" s="113">
        <f>SUMIF('Технологическая карта 1'!$DF$4:$DW$4,$C10,'Технологическая карта 1'!$DF$69:$DW$69)</f>
        <v>0</v>
      </c>
      <c r="K10" s="113">
        <f>SUMIF('Технологическая карта 1'!$DF$4:$DW$4,$C10,'Технологическая карта 1'!$DF$77:$DW$77)</f>
        <v>0</v>
      </c>
      <c r="L10" s="113">
        <f>SUMIF('Технологическая карта 1'!$DF$4:$DW$4,$C10,'Технологическая карта 1'!$DF$85:$DW$85)</f>
        <v>0</v>
      </c>
      <c r="M10" s="113">
        <f>SUMIF('Технологическая карта 1'!$DF$4:$DW$4,$C10,'Технологическая карта 1'!$DF$93:$DW$93)</f>
        <v>0</v>
      </c>
      <c r="N10" s="113">
        <f>SUMIF('Технологическая карта 1'!$DF$4:$DW$4,$C10,'Технологическая карта 1'!$DF$101:$DW$101)</f>
        <v>0</v>
      </c>
      <c r="O10" s="161">
        <f>SUMIF('Технологическая карта 1'!$DF$4:$DW$4,$C10,'Технологическая карта 1'!$DF$109:$DW$109)</f>
        <v>0</v>
      </c>
      <c r="P10" s="154">
        <f t="shared" si="0"/>
        <v>0</v>
      </c>
    </row>
    <row r="11" spans="1:16" s="27" customFormat="1" ht="10.5">
      <c r="A11" s="159" t="s">
        <v>28</v>
      </c>
      <c r="B11" s="160" t="str">
        <f>VLOOKUP(A11,Классификаторы!$A:$B,2,FALSE)</f>
        <v>Цех 3</v>
      </c>
      <c r="C11" s="10" t="s">
        <v>389</v>
      </c>
      <c r="D11" s="113">
        <f>SUMIF('Технологическая карта 1'!$DF$4:$DW$4,$C11,'Технологическая карта 1'!$DF$21:$DW$21)</f>
        <v>0</v>
      </c>
      <c r="E11" s="113">
        <f>SUMIF('Технологическая карта 1'!$DF$4:$DW$4,$C11,'Технологическая карта 1'!$DF$29:$DW$29)</f>
        <v>0</v>
      </c>
      <c r="F11" s="113">
        <f>SUMIF('Технологическая карта 1'!$DF$4:$DW$4,$C11,'Технологическая карта 1'!$DF$37:$DW$37)</f>
        <v>0</v>
      </c>
      <c r="G11" s="113">
        <f>SUMIF('Технологическая карта 1'!$DF$4:$DW$4,$C11,'Технологическая карта 1'!$DF$45:$DW$45)</f>
        <v>0</v>
      </c>
      <c r="H11" s="113">
        <f>SUMIF('Технологическая карта 1'!$DF$4:$DW$4,$C11,'Технологическая карта 1'!$DF$53:$DW$53)</f>
        <v>0</v>
      </c>
      <c r="I11" s="113">
        <f>SUMIF('Технологическая карта 1'!$DF$4:$DW$4,$C11,'Технологическая карта 1'!$DF$61:$DW$61)</f>
        <v>0</v>
      </c>
      <c r="J11" s="113">
        <f>SUMIF('Технологическая карта 1'!$DF$4:$DW$4,$C11,'Технологическая карта 1'!$DF$69:$DW$69)</f>
        <v>0</v>
      </c>
      <c r="K11" s="113">
        <f>SUMIF('Технологическая карта 1'!$DF$4:$DW$4,$C11,'Технологическая карта 1'!$DF$77:$DW$77)</f>
        <v>0</v>
      </c>
      <c r="L11" s="113">
        <f>SUMIF('Технологическая карта 1'!$DF$4:$DW$4,$C11,'Технологическая карта 1'!$DF$85:$DW$85)</f>
        <v>0</v>
      </c>
      <c r="M11" s="113">
        <f>SUMIF('Технологическая карта 1'!$DF$4:$DW$4,$C11,'Технологическая карта 1'!$DF$93:$DW$93)</f>
        <v>0</v>
      </c>
      <c r="N11" s="113">
        <f>SUMIF('Технологическая карта 1'!$DF$4:$DW$4,$C11,'Технологическая карта 1'!$DF$101:$DW$101)</f>
        <v>0</v>
      </c>
      <c r="O11" s="161">
        <f>SUMIF('Технологическая карта 1'!$DF$4:$DW$4,$C11,'Технологическая карта 1'!$DF$109:$DW$109)</f>
        <v>0</v>
      </c>
      <c r="P11" s="154">
        <f t="shared" si="0"/>
        <v>0</v>
      </c>
    </row>
    <row r="12" spans="1:16" s="27" customFormat="1" ht="10.5">
      <c r="A12" s="159" t="s">
        <v>28</v>
      </c>
      <c r="B12" s="160" t="str">
        <f>VLOOKUP(A12,Классификаторы!$A:$B,2,FALSE)</f>
        <v>Цех 3</v>
      </c>
      <c r="C12" s="10" t="s">
        <v>390</v>
      </c>
      <c r="D12" s="113">
        <f>SUMIF('Технологическая карта 1'!$DF$4:$DW$4,$C12,'Технологическая карта 1'!$DF$21:$DW$21)</f>
        <v>0</v>
      </c>
      <c r="E12" s="113">
        <f>SUMIF('Технологическая карта 1'!$DF$4:$DW$4,$C12,'Технологическая карта 1'!$DF$29:$DW$29)</f>
        <v>0</v>
      </c>
      <c r="F12" s="113">
        <f>SUMIF('Технологическая карта 1'!$DF$4:$DW$4,$C12,'Технологическая карта 1'!$DF$37:$DW$37)</f>
        <v>0</v>
      </c>
      <c r="G12" s="113">
        <f>SUMIF('Технологическая карта 1'!$DF$4:$DW$4,$C12,'Технологическая карта 1'!$DF$45:$DW$45)</f>
        <v>0</v>
      </c>
      <c r="H12" s="113">
        <f>SUMIF('Технологическая карта 1'!$DF$4:$DW$4,$C12,'Технологическая карта 1'!$DF$53:$DW$53)</f>
        <v>0</v>
      </c>
      <c r="I12" s="113">
        <f>SUMIF('Технологическая карта 1'!$DF$4:$DW$4,$C12,'Технологическая карта 1'!$DF$61:$DW$61)</f>
        <v>0</v>
      </c>
      <c r="J12" s="113">
        <f>SUMIF('Технологическая карта 1'!$DF$4:$DW$4,$C12,'Технологическая карта 1'!$DF$69:$DW$69)</f>
        <v>0</v>
      </c>
      <c r="K12" s="113">
        <f>SUMIF('Технологическая карта 1'!$DF$4:$DW$4,$C12,'Технологическая карта 1'!$DF$77:$DW$77)</f>
        <v>0</v>
      </c>
      <c r="L12" s="113">
        <f>SUMIF('Технологическая карта 1'!$DF$4:$DW$4,$C12,'Технологическая карта 1'!$DF$85:$DW$85)</f>
        <v>0</v>
      </c>
      <c r="M12" s="113">
        <f>SUMIF('Технологическая карта 1'!$DF$4:$DW$4,$C12,'Технологическая карта 1'!$DF$93:$DW$93)</f>
        <v>0</v>
      </c>
      <c r="N12" s="113">
        <f>SUMIF('Технологическая карта 1'!$DF$4:$DW$4,$C12,'Технологическая карта 1'!$DF$101:$DW$101)</f>
        <v>0</v>
      </c>
      <c r="O12" s="161">
        <f>SUMIF('Технологическая карта 1'!$DF$4:$DW$4,$C12,'Технологическая карта 1'!$DF$109:$DW$109)</f>
        <v>0</v>
      </c>
      <c r="P12" s="154">
        <f aca="true" t="shared" si="1" ref="P12:P22">SUM(D12:O12)</f>
        <v>0</v>
      </c>
    </row>
    <row r="13" spans="1:16" s="27" customFormat="1" ht="10.5">
      <c r="A13" s="159" t="s">
        <v>28</v>
      </c>
      <c r="B13" s="160" t="str">
        <f>VLOOKUP(A13,Классификаторы!$A:$B,2,FALSE)</f>
        <v>Цех 3</v>
      </c>
      <c r="C13" s="10" t="s">
        <v>391</v>
      </c>
      <c r="D13" s="113">
        <f>SUMIF('Технологическая карта 1'!$DF$4:$DW$4,$C13,'Технологическая карта 1'!$DF$21:$DW$21)</f>
        <v>0</v>
      </c>
      <c r="E13" s="113">
        <f>SUMIF('Технологическая карта 1'!$DF$4:$DW$4,$C13,'Технологическая карта 1'!$DF$29:$DW$29)</f>
        <v>0</v>
      </c>
      <c r="F13" s="113">
        <f>SUMIF('Технологическая карта 1'!$DF$4:$DW$4,$C13,'Технологическая карта 1'!$DF$37:$DW$37)</f>
        <v>0</v>
      </c>
      <c r="G13" s="113">
        <f>SUMIF('Технологическая карта 1'!$DF$4:$DW$4,$C13,'Технологическая карта 1'!$DF$45:$DW$45)</f>
        <v>0</v>
      </c>
      <c r="H13" s="113">
        <f>SUMIF('Технологическая карта 1'!$DF$4:$DW$4,$C13,'Технологическая карта 1'!$DF$53:$DW$53)</f>
        <v>0</v>
      </c>
      <c r="I13" s="113">
        <f>SUMIF('Технологическая карта 1'!$DF$4:$DW$4,$C13,'Технологическая карта 1'!$DF$61:$DW$61)</f>
        <v>0</v>
      </c>
      <c r="J13" s="113">
        <f>SUMIF('Технологическая карта 1'!$DF$4:$DW$4,$C13,'Технологическая карта 1'!$DF$69:$DW$69)</f>
        <v>0</v>
      </c>
      <c r="K13" s="113">
        <f>SUMIF('Технологическая карта 1'!$DF$4:$DW$4,$C13,'Технологическая карта 1'!$DF$77:$DW$77)</f>
        <v>0</v>
      </c>
      <c r="L13" s="113">
        <f>SUMIF('Технологическая карта 1'!$DF$4:$DW$4,$C13,'Технологическая карта 1'!$DF$85:$DW$85)</f>
        <v>0</v>
      </c>
      <c r="M13" s="113">
        <f>SUMIF('Технологическая карта 1'!$DF$4:$DW$4,$C13,'Технологическая карта 1'!$DF$93:$DW$93)</f>
        <v>0</v>
      </c>
      <c r="N13" s="113">
        <f>SUMIF('Технологическая карта 1'!$DF$4:$DW$4,$C13,'Технологическая карта 1'!$DF$101:$DW$101)</f>
        <v>0</v>
      </c>
      <c r="O13" s="161">
        <f>SUMIF('Технологическая карта 1'!$DF$4:$DW$4,$C13,'Технологическая карта 1'!$DF$109:$DW$109)</f>
        <v>0</v>
      </c>
      <c r="P13" s="154">
        <f t="shared" si="1"/>
        <v>0</v>
      </c>
    </row>
    <row r="14" spans="1:16" s="27" customFormat="1" ht="10.5">
      <c r="A14" s="159" t="s">
        <v>28</v>
      </c>
      <c r="B14" s="160" t="str">
        <f>VLOOKUP(A14,Классификаторы!$A:$B,2,FALSE)</f>
        <v>Цех 3</v>
      </c>
      <c r="C14" s="10" t="s">
        <v>392</v>
      </c>
      <c r="D14" s="113">
        <f>SUMIF('Технологическая карта 1'!$DF$4:$DW$4,$C14,'Технологическая карта 1'!$DF$21:$DW$21)</f>
        <v>0</v>
      </c>
      <c r="E14" s="113">
        <f>SUMIF('Технологическая карта 1'!$DF$4:$DW$4,$C14,'Технологическая карта 1'!$DF$29:$DW$29)</f>
        <v>0</v>
      </c>
      <c r="F14" s="113">
        <f>SUMIF('Технологическая карта 1'!$DF$4:$DW$4,$C14,'Технологическая карта 1'!$DF$37:$DW$37)</f>
        <v>0</v>
      </c>
      <c r="G14" s="113">
        <f>SUMIF('Технологическая карта 1'!$DF$4:$DW$4,$C14,'Технологическая карта 1'!$DF$45:$DW$45)</f>
        <v>0</v>
      </c>
      <c r="H14" s="113">
        <f>SUMIF('Технологическая карта 1'!$DF$4:$DW$4,$C14,'Технологическая карта 1'!$DF$53:$DW$53)</f>
        <v>0</v>
      </c>
      <c r="I14" s="113">
        <f>SUMIF('Технологическая карта 1'!$DF$4:$DW$4,$C14,'Технологическая карта 1'!$DF$61:$DW$61)</f>
        <v>0</v>
      </c>
      <c r="J14" s="113">
        <f>SUMIF('Технологическая карта 1'!$DF$4:$DW$4,$C14,'Технологическая карта 1'!$DF$69:$DW$69)</f>
        <v>0</v>
      </c>
      <c r="K14" s="113">
        <f>SUMIF('Технологическая карта 1'!$DF$4:$DW$4,$C14,'Технологическая карта 1'!$DF$77:$DW$77)</f>
        <v>0</v>
      </c>
      <c r="L14" s="113">
        <f>SUMIF('Технологическая карта 1'!$DF$4:$DW$4,$C14,'Технологическая карта 1'!$DF$85:$DW$85)</f>
        <v>0</v>
      </c>
      <c r="M14" s="113">
        <f>SUMIF('Технологическая карта 1'!$DF$4:$DW$4,$C14,'Технологическая карта 1'!$DF$93:$DW$93)</f>
        <v>0</v>
      </c>
      <c r="N14" s="113">
        <f>SUMIF('Технологическая карта 1'!$DF$4:$DW$4,$C14,'Технологическая карта 1'!$DF$101:$DW$101)</f>
        <v>0</v>
      </c>
      <c r="O14" s="161">
        <f>SUMIF('Технологическая карта 1'!$DF$4:$DW$4,$C14,'Технологическая карта 1'!$DF$109:$DW$109)</f>
        <v>0</v>
      </c>
      <c r="P14" s="154">
        <f t="shared" si="1"/>
        <v>0</v>
      </c>
    </row>
    <row r="15" spans="1:16" s="27" customFormat="1" ht="10.5">
      <c r="A15" s="159" t="s">
        <v>28</v>
      </c>
      <c r="B15" s="160" t="str">
        <f>VLOOKUP(A15,Классификаторы!$A:$B,2,FALSE)</f>
        <v>Цех 3</v>
      </c>
      <c r="C15" s="10" t="s">
        <v>393</v>
      </c>
      <c r="D15" s="113">
        <f>SUMIF('Технологическая карта 1'!$DF$4:$DW$4,$C15,'Технологическая карта 1'!$DF$21:$DW$21)</f>
        <v>0</v>
      </c>
      <c r="E15" s="113">
        <f>SUMIF('Технологическая карта 1'!$DF$4:$DW$4,$C15,'Технологическая карта 1'!$DF$29:$DW$29)</f>
        <v>0</v>
      </c>
      <c r="F15" s="113">
        <f>SUMIF('Технологическая карта 1'!$DF$4:$DW$4,$C15,'Технологическая карта 1'!$DF$37:$DW$37)</f>
        <v>0</v>
      </c>
      <c r="G15" s="113">
        <f>SUMIF('Технологическая карта 1'!$DF$4:$DW$4,$C15,'Технологическая карта 1'!$DF$45:$DW$45)</f>
        <v>0</v>
      </c>
      <c r="H15" s="113">
        <f>SUMIF('Технологическая карта 1'!$DF$4:$DW$4,$C15,'Технологическая карта 1'!$DF$53:$DW$53)</f>
        <v>0</v>
      </c>
      <c r="I15" s="113">
        <f>SUMIF('Технологическая карта 1'!$DF$4:$DW$4,$C15,'Технологическая карта 1'!$DF$61:$DW$61)</f>
        <v>0</v>
      </c>
      <c r="J15" s="113">
        <f>SUMIF('Технологическая карта 1'!$DF$4:$DW$4,$C15,'Технологическая карта 1'!$DF$69:$DW$69)</f>
        <v>0</v>
      </c>
      <c r="K15" s="113">
        <f>SUMIF('Технологическая карта 1'!$DF$4:$DW$4,$C15,'Технологическая карта 1'!$DF$77:$DW$77)</f>
        <v>0</v>
      </c>
      <c r="L15" s="113">
        <f>SUMIF('Технологическая карта 1'!$DF$4:$DW$4,$C15,'Технологическая карта 1'!$DF$85:$DW$85)</f>
        <v>0</v>
      </c>
      <c r="M15" s="113">
        <f>SUMIF('Технологическая карта 1'!$DF$4:$DW$4,$C15,'Технологическая карта 1'!$DF$93:$DW$93)</f>
        <v>0</v>
      </c>
      <c r="N15" s="113">
        <f>SUMIF('Технологическая карта 1'!$DF$4:$DW$4,$C15,'Технологическая карта 1'!$DF$101:$DW$101)</f>
        <v>0</v>
      </c>
      <c r="O15" s="161">
        <f>SUMIF('Технологическая карта 1'!$DF$4:$DW$4,$C15,'Технологическая карта 1'!$DF$109:$DW$109)</f>
        <v>0</v>
      </c>
      <c r="P15" s="154">
        <f t="shared" si="1"/>
        <v>0</v>
      </c>
    </row>
    <row r="16" spans="1:16" s="27" customFormat="1" ht="10.5">
      <c r="A16" s="159" t="s">
        <v>28</v>
      </c>
      <c r="B16" s="160" t="str">
        <f>VLOOKUP(A16,Классификаторы!$A:$B,2,FALSE)</f>
        <v>Цех 3</v>
      </c>
      <c r="C16" s="10" t="s">
        <v>394</v>
      </c>
      <c r="D16" s="113">
        <f>SUMIF('Технологическая карта 1'!$DF$4:$DW$4,$C16,'Технологическая карта 1'!$DF$21:$DW$21)</f>
        <v>0</v>
      </c>
      <c r="E16" s="113">
        <f>SUMIF('Технологическая карта 1'!$DF$4:$DW$4,$C16,'Технологическая карта 1'!$DF$29:$DW$29)</f>
        <v>0</v>
      </c>
      <c r="F16" s="113">
        <f>SUMIF('Технологическая карта 1'!$DF$4:$DW$4,$C16,'Технологическая карта 1'!$DF$37:$DW$37)</f>
        <v>0</v>
      </c>
      <c r="G16" s="113">
        <f>SUMIF('Технологическая карта 1'!$DF$4:$DW$4,$C16,'Технологическая карта 1'!$DF$45:$DW$45)</f>
        <v>0</v>
      </c>
      <c r="H16" s="113">
        <f>SUMIF('Технологическая карта 1'!$DF$4:$DW$4,$C16,'Технологическая карта 1'!$DF$53:$DW$53)</f>
        <v>0</v>
      </c>
      <c r="I16" s="113">
        <f>SUMIF('Технологическая карта 1'!$DF$4:$DW$4,$C16,'Технологическая карта 1'!$DF$61:$DW$61)</f>
        <v>0</v>
      </c>
      <c r="J16" s="113">
        <f>SUMIF('Технологическая карта 1'!$DF$4:$DW$4,$C16,'Технологическая карта 1'!$DF$69:$DW$69)</f>
        <v>0</v>
      </c>
      <c r="K16" s="113">
        <f>SUMIF('Технологическая карта 1'!$DF$4:$DW$4,$C16,'Технологическая карта 1'!$DF$77:$DW$77)</f>
        <v>0</v>
      </c>
      <c r="L16" s="113">
        <f>SUMIF('Технологическая карта 1'!$DF$4:$DW$4,$C16,'Технологическая карта 1'!$DF$85:$DW$85)</f>
        <v>0</v>
      </c>
      <c r="M16" s="113">
        <f>SUMIF('Технологическая карта 1'!$DF$4:$DW$4,$C16,'Технологическая карта 1'!$DF$93:$DW$93)</f>
        <v>0</v>
      </c>
      <c r="N16" s="113">
        <f>SUMIF('Технологическая карта 1'!$DF$4:$DW$4,$C16,'Технологическая карта 1'!$DF$101:$DW$101)</f>
        <v>0</v>
      </c>
      <c r="O16" s="161">
        <f>SUMIF('Технологическая карта 1'!$DF$4:$DW$4,$C16,'Технологическая карта 1'!$DF$109:$DW$109)</f>
        <v>0</v>
      </c>
      <c r="P16" s="154">
        <f t="shared" si="1"/>
        <v>0</v>
      </c>
    </row>
    <row r="17" spans="1:16" s="27" customFormat="1" ht="10.5">
      <c r="A17" s="159" t="s">
        <v>28</v>
      </c>
      <c r="B17" s="160" t="str">
        <f>VLOOKUP(A17,Классификаторы!$A:$B,2,FALSE)</f>
        <v>Цех 3</v>
      </c>
      <c r="C17" s="10" t="s">
        <v>395</v>
      </c>
      <c r="D17" s="113">
        <f>SUMIF('Технологическая карта 1'!$DF$4:$DW$4,$C17,'Технологическая карта 1'!$DF$21:$DW$21)</f>
        <v>0</v>
      </c>
      <c r="E17" s="113">
        <f>SUMIF('Технологическая карта 1'!$DF$4:$DW$4,$C17,'Технологическая карта 1'!$DF$29:$DW$29)</f>
        <v>0</v>
      </c>
      <c r="F17" s="113">
        <f>SUMIF('Технологическая карта 1'!$DF$4:$DW$4,$C17,'Технологическая карта 1'!$DF$37:$DW$37)</f>
        <v>0</v>
      </c>
      <c r="G17" s="113">
        <f>SUMIF('Технологическая карта 1'!$DF$4:$DW$4,$C17,'Технологическая карта 1'!$DF$45:$DW$45)</f>
        <v>0</v>
      </c>
      <c r="H17" s="113">
        <f>SUMIF('Технологическая карта 1'!$DF$4:$DW$4,$C17,'Технологическая карта 1'!$DF$53:$DW$53)</f>
        <v>0</v>
      </c>
      <c r="I17" s="113">
        <f>SUMIF('Технологическая карта 1'!$DF$4:$DW$4,$C17,'Технологическая карта 1'!$DF$61:$DW$61)</f>
        <v>0</v>
      </c>
      <c r="J17" s="113">
        <f>SUMIF('Технологическая карта 1'!$DF$4:$DW$4,$C17,'Технологическая карта 1'!$DF$69:$DW$69)</f>
        <v>0</v>
      </c>
      <c r="K17" s="113">
        <f>SUMIF('Технологическая карта 1'!$DF$4:$DW$4,$C17,'Технологическая карта 1'!$DF$77:$DW$77)</f>
        <v>0</v>
      </c>
      <c r="L17" s="113">
        <f>SUMIF('Технологическая карта 1'!$DF$4:$DW$4,$C17,'Технологическая карта 1'!$DF$85:$DW$85)</f>
        <v>0</v>
      </c>
      <c r="M17" s="113">
        <f>SUMIF('Технологическая карта 1'!$DF$4:$DW$4,$C17,'Технологическая карта 1'!$DF$93:$DW$93)</f>
        <v>0</v>
      </c>
      <c r="N17" s="113">
        <f>SUMIF('Технологическая карта 1'!$DF$4:$DW$4,$C17,'Технологическая карта 1'!$DF$101:$DW$101)</f>
        <v>0</v>
      </c>
      <c r="O17" s="161">
        <f>SUMIF('Технологическая карта 1'!$DF$4:$DW$4,$C17,'Технологическая карта 1'!$DF$109:$DW$109)</f>
        <v>0</v>
      </c>
      <c r="P17" s="154">
        <f t="shared" si="1"/>
        <v>0</v>
      </c>
    </row>
    <row r="18" spans="1:16" s="27" customFormat="1" ht="10.5">
      <c r="A18" s="159" t="s">
        <v>28</v>
      </c>
      <c r="B18" s="160" t="str">
        <f>VLOOKUP(A18,Классификаторы!$A:$B,2,FALSE)</f>
        <v>Цех 3</v>
      </c>
      <c r="C18" s="10" t="s">
        <v>396</v>
      </c>
      <c r="D18" s="113">
        <f>SUMIF('Технологическая карта 1'!$DF$4:$DW$4,$C18,'Технологическая карта 1'!$DF$21:$DW$21)</f>
        <v>0</v>
      </c>
      <c r="E18" s="113">
        <f>SUMIF('Технологическая карта 1'!$DF$4:$DW$4,$C18,'Технологическая карта 1'!$DF$29:$DW$29)</f>
        <v>0</v>
      </c>
      <c r="F18" s="113">
        <f>SUMIF('Технологическая карта 1'!$DF$4:$DW$4,$C18,'Технологическая карта 1'!$DF$37:$DW$37)</f>
        <v>0</v>
      </c>
      <c r="G18" s="113">
        <f>SUMIF('Технологическая карта 1'!$DF$4:$DW$4,$C18,'Технологическая карта 1'!$DF$45:$DW$45)</f>
        <v>0</v>
      </c>
      <c r="H18" s="113">
        <f>SUMIF('Технологическая карта 1'!$DF$4:$DW$4,$C18,'Технологическая карта 1'!$DF$53:$DW$53)</f>
        <v>0</v>
      </c>
      <c r="I18" s="113">
        <f>SUMIF('Технологическая карта 1'!$DF$4:$DW$4,$C18,'Технологическая карта 1'!$DF$61:$DW$61)</f>
        <v>0</v>
      </c>
      <c r="J18" s="113">
        <f>SUMIF('Технологическая карта 1'!$DF$4:$DW$4,$C18,'Технологическая карта 1'!$DF$69:$DW$69)</f>
        <v>0</v>
      </c>
      <c r="K18" s="113">
        <f>SUMIF('Технологическая карта 1'!$DF$4:$DW$4,$C18,'Технологическая карта 1'!$DF$77:$DW$77)</f>
        <v>0</v>
      </c>
      <c r="L18" s="113">
        <f>SUMIF('Технологическая карта 1'!$DF$4:$DW$4,$C18,'Технологическая карта 1'!$DF$85:$DW$85)</f>
        <v>0</v>
      </c>
      <c r="M18" s="113">
        <f>SUMIF('Технологическая карта 1'!$DF$4:$DW$4,$C18,'Технологическая карта 1'!$DF$93:$DW$93)</f>
        <v>0</v>
      </c>
      <c r="N18" s="113">
        <f>SUMIF('Технологическая карта 1'!$DF$4:$DW$4,$C18,'Технологическая карта 1'!$DF$101:$DW$101)</f>
        <v>0</v>
      </c>
      <c r="O18" s="161">
        <f>SUMIF('Технологическая карта 1'!$DF$4:$DW$4,$C18,'Технологическая карта 1'!$DF$109:$DW$109)</f>
        <v>0</v>
      </c>
      <c r="P18" s="154">
        <f t="shared" si="1"/>
        <v>0</v>
      </c>
    </row>
    <row r="19" spans="1:16" s="27" customFormat="1" ht="10.5">
      <c r="A19" s="159" t="s">
        <v>28</v>
      </c>
      <c r="B19" s="160" t="str">
        <f>VLOOKUP(A19,Классификаторы!$A:$B,2,FALSE)</f>
        <v>Цех 3</v>
      </c>
      <c r="C19" s="10" t="s">
        <v>397</v>
      </c>
      <c r="D19" s="113">
        <f>SUMIF('Технологическая карта 1'!$DF$4:$DW$4,$C19,'Технологическая карта 1'!$DF$21:$DW$21)</f>
        <v>0</v>
      </c>
      <c r="E19" s="113">
        <f>SUMIF('Технологическая карта 1'!$DF$4:$DW$4,$C19,'Технологическая карта 1'!$DF$29:$DW$29)</f>
        <v>0</v>
      </c>
      <c r="F19" s="113">
        <f>SUMIF('Технологическая карта 1'!$DF$4:$DW$4,$C19,'Технологическая карта 1'!$DF$37:$DW$37)</f>
        <v>0</v>
      </c>
      <c r="G19" s="113">
        <f>SUMIF('Технологическая карта 1'!$DF$4:$DW$4,$C19,'Технологическая карта 1'!$DF$45:$DW$45)</f>
        <v>0</v>
      </c>
      <c r="H19" s="113">
        <f>SUMIF('Технологическая карта 1'!$DF$4:$DW$4,$C19,'Технологическая карта 1'!$DF$53:$DW$53)</f>
        <v>0</v>
      </c>
      <c r="I19" s="113">
        <f>SUMIF('Технологическая карта 1'!$DF$4:$DW$4,$C19,'Технологическая карта 1'!$DF$61:$DW$61)</f>
        <v>0</v>
      </c>
      <c r="J19" s="113">
        <f>SUMIF('Технологическая карта 1'!$DF$4:$DW$4,$C19,'Технологическая карта 1'!$DF$69:$DW$69)</f>
        <v>0</v>
      </c>
      <c r="K19" s="113">
        <f>SUMIF('Технологическая карта 1'!$DF$4:$DW$4,$C19,'Технологическая карта 1'!$DF$77:$DW$77)</f>
        <v>0</v>
      </c>
      <c r="L19" s="113">
        <f>SUMIF('Технологическая карта 1'!$DF$4:$DW$4,$C19,'Технологическая карта 1'!$DF$85:$DW$85)</f>
        <v>0</v>
      </c>
      <c r="M19" s="113">
        <f>SUMIF('Технологическая карта 1'!$DF$4:$DW$4,$C19,'Технологическая карта 1'!$DF$93:$DW$93)</f>
        <v>0</v>
      </c>
      <c r="N19" s="113">
        <f>SUMIF('Технологическая карта 1'!$DF$4:$DW$4,$C19,'Технологическая карта 1'!$DF$101:$DW$101)</f>
        <v>0</v>
      </c>
      <c r="O19" s="161">
        <f>SUMIF('Технологическая карта 1'!$DF$4:$DW$4,$C19,'Технологическая карта 1'!$DF$109:$DW$109)</f>
        <v>0</v>
      </c>
      <c r="P19" s="154">
        <f t="shared" si="1"/>
        <v>0</v>
      </c>
    </row>
    <row r="20" spans="1:16" s="27" customFormat="1" ht="10.5">
      <c r="A20" s="159" t="s">
        <v>28</v>
      </c>
      <c r="B20" s="160" t="str">
        <f>VLOOKUP(A20,Классификаторы!$A:$B,2,FALSE)</f>
        <v>Цех 3</v>
      </c>
      <c r="C20" s="10" t="s">
        <v>399</v>
      </c>
      <c r="D20" s="113">
        <f>SUMIF('Технологическая карта 1'!$DF$4:$DW$4,$C20,'Технологическая карта 1'!$DF$21:$DW$21)</f>
        <v>0</v>
      </c>
      <c r="E20" s="113">
        <f>SUMIF('Технологическая карта 1'!$DF$4:$DW$4,$C20,'Технологическая карта 1'!$DF$29:$DW$29)</f>
        <v>0</v>
      </c>
      <c r="F20" s="113">
        <f>SUMIF('Технологическая карта 1'!$DF$4:$DW$4,$C20,'Технологическая карта 1'!$DF$37:$DW$37)</f>
        <v>0</v>
      </c>
      <c r="G20" s="113">
        <f>SUMIF('Технологическая карта 1'!$DF$4:$DW$4,$C20,'Технологическая карта 1'!$DF$45:$DW$45)</f>
        <v>0</v>
      </c>
      <c r="H20" s="113">
        <f>SUMIF('Технологическая карта 1'!$DF$4:$DW$4,$C20,'Технологическая карта 1'!$DF$53:$DW$53)</f>
        <v>0</v>
      </c>
      <c r="I20" s="113">
        <f>SUMIF('Технологическая карта 1'!$DF$4:$DW$4,$C20,'Технологическая карта 1'!$DF$61:$DW$61)</f>
        <v>0</v>
      </c>
      <c r="J20" s="113">
        <f>SUMIF('Технологическая карта 1'!$DF$4:$DW$4,$C20,'Технологическая карта 1'!$DF$69:$DW$69)</f>
        <v>0</v>
      </c>
      <c r="K20" s="113">
        <f>SUMIF('Технологическая карта 1'!$DF$4:$DW$4,$C20,'Технологическая карта 1'!$DF$77:$DW$77)</f>
        <v>0</v>
      </c>
      <c r="L20" s="113">
        <f>SUMIF('Технологическая карта 1'!$DF$4:$DW$4,$C20,'Технологическая карта 1'!$DF$85:$DW$85)</f>
        <v>0</v>
      </c>
      <c r="M20" s="113">
        <f>SUMIF('Технологическая карта 1'!$DF$4:$DW$4,$C20,'Технологическая карта 1'!$DF$93:$DW$93)</f>
        <v>0</v>
      </c>
      <c r="N20" s="113">
        <f>SUMIF('Технологическая карта 1'!$DF$4:$DW$4,$C20,'Технологическая карта 1'!$DF$101:$DW$101)</f>
        <v>0</v>
      </c>
      <c r="O20" s="161">
        <f>SUMIF('Технологическая карта 1'!$DF$4:$DW$4,$C20,'Технологическая карта 1'!$DF$109:$DW$109)</f>
        <v>0</v>
      </c>
      <c r="P20" s="154">
        <f t="shared" si="1"/>
        <v>0</v>
      </c>
    </row>
    <row r="21" spans="1:16" s="27" customFormat="1" ht="10.5">
      <c r="A21" s="159" t="s">
        <v>28</v>
      </c>
      <c r="B21" s="160" t="str">
        <f>VLOOKUP(A21,Классификаторы!$A:$B,2,FALSE)</f>
        <v>Цех 3</v>
      </c>
      <c r="C21" s="10" t="s">
        <v>400</v>
      </c>
      <c r="D21" s="113">
        <f>SUMIF('Технологическая карта 1'!$DF$4:$DW$4,$C21,'Технологическая карта 1'!$DF$21:$DW$21)</f>
        <v>0</v>
      </c>
      <c r="E21" s="113">
        <f>SUMIF('Технологическая карта 1'!$DF$4:$DW$4,$C21,'Технологическая карта 1'!$DF$29:$DW$29)</f>
        <v>0</v>
      </c>
      <c r="F21" s="113">
        <f>SUMIF('Технологическая карта 1'!$DF$4:$DW$4,$C21,'Технологическая карта 1'!$DF$37:$DW$37)</f>
        <v>0</v>
      </c>
      <c r="G21" s="113">
        <f>SUMIF('Технологическая карта 1'!$DF$4:$DW$4,$C21,'Технологическая карта 1'!$DF$45:$DW$45)</f>
        <v>0</v>
      </c>
      <c r="H21" s="113">
        <f>SUMIF('Технологическая карта 1'!$DF$4:$DW$4,$C21,'Технологическая карта 1'!$DF$53:$DW$53)</f>
        <v>0</v>
      </c>
      <c r="I21" s="113">
        <f>SUMIF('Технологическая карта 1'!$DF$4:$DW$4,$C21,'Технологическая карта 1'!$DF$61:$DW$61)</f>
        <v>0</v>
      </c>
      <c r="J21" s="113">
        <f>SUMIF('Технологическая карта 1'!$DF$4:$DW$4,$C21,'Технологическая карта 1'!$DF$69:$DW$69)</f>
        <v>0</v>
      </c>
      <c r="K21" s="113">
        <f>SUMIF('Технологическая карта 1'!$DF$4:$DW$4,$C21,'Технологическая карта 1'!$DF$77:$DW$77)</f>
        <v>0</v>
      </c>
      <c r="L21" s="113">
        <f>SUMIF('Технологическая карта 1'!$DF$4:$DW$4,$C21,'Технологическая карта 1'!$DF$85:$DW$85)</f>
        <v>0</v>
      </c>
      <c r="M21" s="113">
        <f>SUMIF('Технологическая карта 1'!$DF$4:$DW$4,$C21,'Технологическая карта 1'!$DF$93:$DW$93)</f>
        <v>0</v>
      </c>
      <c r="N21" s="113">
        <f>SUMIF('Технологическая карта 1'!$DF$4:$DW$4,$C21,'Технологическая карта 1'!$DF$101:$DW$101)</f>
        <v>0</v>
      </c>
      <c r="O21" s="161">
        <f>SUMIF('Технологическая карта 1'!$DF$4:$DW$4,$C21,'Технологическая карта 1'!$DF$109:$DW$109)</f>
        <v>0</v>
      </c>
      <c r="P21" s="154">
        <f t="shared" si="1"/>
        <v>0</v>
      </c>
    </row>
    <row r="22" spans="1:16" s="27" customFormat="1" ht="10.5">
      <c r="A22" s="159" t="s">
        <v>28</v>
      </c>
      <c r="B22" s="160" t="str">
        <f>VLOOKUP(A22,Классификаторы!$A:$B,2,FALSE)</f>
        <v>Цех 3</v>
      </c>
      <c r="C22" s="10" t="s">
        <v>401</v>
      </c>
      <c r="D22" s="113">
        <f>SUMIF('Технологическая карта 1'!$DF$4:$DW$4,$C22,'Технологическая карта 1'!$DF$21:$DW$21)</f>
        <v>0</v>
      </c>
      <c r="E22" s="113">
        <f>SUMIF('Технологическая карта 1'!$DF$4:$DW$4,$C22,'Технологическая карта 1'!$DF$29:$DW$29)</f>
        <v>0</v>
      </c>
      <c r="F22" s="113">
        <f>SUMIF('Технологическая карта 1'!$DF$4:$DW$4,$C22,'Технологическая карта 1'!$DF$37:$DW$37)</f>
        <v>0</v>
      </c>
      <c r="G22" s="113">
        <f>SUMIF('Технологическая карта 1'!$DF$4:$DW$4,$C22,'Технологическая карта 1'!$DF$45:$DW$45)</f>
        <v>0</v>
      </c>
      <c r="H22" s="113">
        <f>SUMIF('Технологическая карта 1'!$DF$4:$DW$4,$C22,'Технологическая карта 1'!$DF$53:$DW$53)</f>
        <v>0</v>
      </c>
      <c r="I22" s="113">
        <f>SUMIF('Технологическая карта 1'!$DF$4:$DW$4,$C22,'Технологическая карта 1'!$DF$61:$DW$61)</f>
        <v>0</v>
      </c>
      <c r="J22" s="113">
        <f>SUMIF('Технологическая карта 1'!$DF$4:$DW$4,$C22,'Технологическая карта 1'!$DF$69:$DW$69)</f>
        <v>0</v>
      </c>
      <c r="K22" s="113">
        <f>SUMIF('Технологическая карта 1'!$DF$4:$DW$4,$C22,'Технологическая карта 1'!$DF$77:$DW$77)</f>
        <v>0</v>
      </c>
      <c r="L22" s="113">
        <f>SUMIF('Технологическая карта 1'!$DF$4:$DW$4,$C22,'Технологическая карта 1'!$DF$85:$DW$85)</f>
        <v>0</v>
      </c>
      <c r="M22" s="113">
        <f>SUMIF('Технологическая карта 1'!$DF$4:$DW$4,$C22,'Технологическая карта 1'!$DF$93:$DW$93)</f>
        <v>0</v>
      </c>
      <c r="N22" s="113">
        <f>SUMIF('Технологическая карта 1'!$DF$4:$DW$4,$C22,'Технологическая карта 1'!$DF$101:$DW$101)</f>
        <v>0</v>
      </c>
      <c r="O22" s="161">
        <f>SUMIF('Технологическая карта 1'!$DF$4:$DW$4,$C22,'Технологическая карта 1'!$DF$109:$DW$109)</f>
        <v>0</v>
      </c>
      <c r="P22" s="154">
        <f t="shared" si="1"/>
        <v>0</v>
      </c>
    </row>
    <row r="23" spans="1:16" s="27" customFormat="1" ht="10.5">
      <c r="A23" s="410"/>
      <c r="B23" s="411" t="s">
        <v>64</v>
      </c>
      <c r="C23" s="412"/>
      <c r="D23" s="413" t="s">
        <v>342</v>
      </c>
      <c r="E23" s="413" t="s">
        <v>342</v>
      </c>
      <c r="F23" s="413" t="s">
        <v>342</v>
      </c>
      <c r="G23" s="413" t="s">
        <v>342</v>
      </c>
      <c r="H23" s="413" t="s">
        <v>342</v>
      </c>
      <c r="I23" s="413" t="s">
        <v>342</v>
      </c>
      <c r="J23" s="413" t="s">
        <v>342</v>
      </c>
      <c r="K23" s="413" t="s">
        <v>342</v>
      </c>
      <c r="L23" s="413" t="s">
        <v>342</v>
      </c>
      <c r="M23" s="413" t="s">
        <v>342</v>
      </c>
      <c r="N23" s="413" t="s">
        <v>342</v>
      </c>
      <c r="O23" s="414" t="s">
        <v>342</v>
      </c>
      <c r="P23" s="409" t="s">
        <v>342</v>
      </c>
    </row>
    <row r="24" spans="1:16" s="27" customFormat="1" ht="10.5">
      <c r="A24" s="35"/>
      <c r="B24" s="35"/>
      <c r="C24" s="163"/>
      <c r="P24" s="34"/>
    </row>
    <row r="25" spans="1:16" s="27" customFormat="1" ht="10.5">
      <c r="A25" s="35"/>
      <c r="B25" s="35"/>
      <c r="C25" s="163"/>
      <c r="P25" s="34"/>
    </row>
    <row r="26" spans="1:16" s="27" customFormat="1" ht="10.5">
      <c r="A26" s="35"/>
      <c r="B26" s="35"/>
      <c r="C26" s="163"/>
      <c r="P26" s="34"/>
    </row>
    <row r="27" spans="1:16" s="27" customFormat="1" ht="10.5">
      <c r="A27" s="35"/>
      <c r="B27" s="35"/>
      <c r="C27" s="163"/>
      <c r="P27" s="34"/>
    </row>
    <row r="28" spans="1:16" s="27" customFormat="1" ht="10.5">
      <c r="A28" s="35"/>
      <c r="B28" s="35"/>
      <c r="C28" s="163"/>
      <c r="P28" s="34"/>
    </row>
  </sheetData>
  <printOptions/>
  <pageMargins left="0.75" right="0.75" top="0.68" bottom="1.3" header="0.5" footer="0.5"/>
  <pageSetup horizontalDpi="300" verticalDpi="300" orientation="landscape" paperSize="9" scale="74" r:id="rId2"/>
  <headerFooter alignWithMargins="0">
    <oddHeader>&amp;LФинансовая бюджетная модель (производство)</oddHeader>
    <oddFooter>&amp;LСтраница &amp;P&amp;C&amp;G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Материалы для CD</dc:subject>
  <dc:creator>Cogito Management Consulting (Попов, Литвинов)</dc:creator>
  <cp:keywords/>
  <dc:description/>
  <cp:lastModifiedBy>Атавова</cp:lastModifiedBy>
  <cp:lastPrinted>2008-07-24T10:06:56Z</cp:lastPrinted>
  <dcterms:created xsi:type="dcterms:W3CDTF">2004-05-25T11:18:54Z</dcterms:created>
  <dcterms:modified xsi:type="dcterms:W3CDTF">2008-07-31T13:06:01Z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E32B31D_78E2_4FB8_B834_08C209CD8FA2">
    <vt:lpwstr>0</vt:lpwstr>
  </property>
  <property fmtid="{D5CDD505-2E9C-101B-9397-08002B2CF9AE}" pid="3" name="_AdHocReviewCycleID">
    <vt:i4>-142567650</vt:i4>
  </property>
  <property fmtid="{D5CDD505-2E9C-101B-9397-08002B2CF9AE}" pid="4" name="_EmailSubject">
    <vt:lpwstr>По бюджетной модели от журнала Financial Director</vt:lpwstr>
  </property>
  <property fmtid="{D5CDD505-2E9C-101B-9397-08002B2CF9AE}" pid="5" name="_AuthorEmail">
    <vt:lpwstr>atavova@action-media.ru</vt:lpwstr>
  </property>
  <property fmtid="{D5CDD505-2E9C-101B-9397-08002B2CF9AE}" pid="6" name="_AuthorEmailDisplayName">
    <vt:lpwstr>Альбина Атавова</vt:lpwstr>
  </property>
  <property fmtid="{D5CDD505-2E9C-101B-9397-08002B2CF9AE}" pid="7" name="_ReviewingToolsShownOnce">
    <vt:lpwstr/>
  </property>
</Properties>
</file>