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30.xml" ContentType="application/vnd.openxmlformats-officedocument.spreadsheetml.comments+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9_0.bin" ContentType="application/vnd.openxmlformats-officedocument.oleObject"/>
  <Override PartName="/xl/embeddings/oleObject_9_1.bin" ContentType="application/vnd.openxmlformats-officedocument.oleObject"/>
  <Override PartName="/xl/embeddings/oleObject_9_2.bin" ContentType="application/vnd.openxmlformats-officedocument.oleObject"/>
  <Override PartName="/xl/embeddings/oleObject_9_3.bin" ContentType="application/vnd.openxmlformats-officedocument.oleObject"/>
  <Override PartName="/xl/embeddings/oleObject_9_4.bin" ContentType="application/vnd.openxmlformats-officedocument.oleObject"/>
  <Override PartName="/xl/embeddings/oleObject_9_5.bin" ContentType="application/vnd.openxmlformats-officedocument.oleObject"/>
  <Override PartName="/xl/embeddings/oleObject_9_6.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120" windowHeight="9120" tabRatio="917" firstSheet="20" activeTab="30"/>
  </bookViews>
  <sheets>
    <sheet name="Данные" sheetId="1" r:id="rId1"/>
    <sheet name="Ф4" sheetId="2" r:id="rId2"/>
    <sheet name="Труд" sheetId="3" r:id="rId3"/>
    <sheet name="КомплСтуд" sheetId="4" r:id="rId4"/>
    <sheet name="Комплекс" sheetId="5" r:id="rId5"/>
    <sheet name="2003" sheetId="6" r:id="rId6"/>
    <sheet name="2004" sheetId="7" r:id="rId7"/>
    <sheet name="2005" sheetId="8" r:id="rId8"/>
    <sheet name="ЧА" sheetId="9" r:id="rId9"/>
    <sheet name="Z-модели" sheetId="10" r:id="rId10"/>
    <sheet name="АналитБал" sheetId="11" r:id="rId11"/>
    <sheet name="Ликвидность" sheetId="12" r:id="rId12"/>
    <sheet name="ДиагБал" sheetId="13" r:id="rId13"/>
    <sheet name="ДиагрПлат" sheetId="14" r:id="rId14"/>
    <sheet name="ДиагрЛикв" sheetId="15" r:id="rId15"/>
    <sheet name="Платежеспособность" sheetId="16" r:id="rId16"/>
    <sheet name="Активность" sheetId="17" r:id="rId17"/>
    <sheet name="АнализДС" sheetId="18" r:id="rId18"/>
    <sheet name="ДиаграммаДС" sheetId="19" r:id="rId19"/>
    <sheet name="КоэфДС" sheetId="20" r:id="rId20"/>
    <sheet name="ДСКдиагр" sheetId="21" r:id="rId21"/>
    <sheet name="ДСкосв" sheetId="22" r:id="rId22"/>
    <sheet name="Рентабельность" sheetId="23" r:id="rId23"/>
    <sheet name="Тенденции" sheetId="24" r:id="rId24"/>
    <sheet name="2фактора" sheetId="25" r:id="rId25"/>
    <sheet name="3фактора" sheetId="26" r:id="rId26"/>
    <sheet name="5факторов" sheetId="27" r:id="rId27"/>
    <sheet name="Интенс04-05" sheetId="28" r:id="rId28"/>
    <sheet name="Интенс03-04" sheetId="29" r:id="rId29"/>
    <sheet name="Бюдж- проект" sheetId="30" r:id="rId30"/>
    <sheet name="ФинУст-проект" sheetId="31" r:id="rId31"/>
  </sheets>
  <definedNames>
    <definedName name="_Toc45714223" localSheetId="5">'2003'!$A$3</definedName>
    <definedName name="_Toc45714224" localSheetId="5">'2003'!$B$3</definedName>
    <definedName name="_Toc45714225" localSheetId="5">'2003'!$C$3</definedName>
    <definedName name="_Toc45714226" localSheetId="5">'2003'!$D$3</definedName>
    <definedName name="_Toc45714227" localSheetId="5">'2003'!$E$3</definedName>
    <definedName name="_xlnm.Print_Area" localSheetId="5">'2003'!$A$1:$I$99</definedName>
    <definedName name="_xlnm.Print_Area" localSheetId="9">'Z-модели'!$A$1:$J$115</definedName>
    <definedName name="_xlnm.Print_Area" localSheetId="0">'Данные'!$A$1:$F$136</definedName>
    <definedName name="_xlnm.Print_Area" localSheetId="11">'Ликвидность'!$A$1:$M$33</definedName>
    <definedName name="_xlnm.Print_Area" localSheetId="22">'Рентабельность'!$A$1:$E$47</definedName>
  </definedNames>
  <calcPr calcMode="autoNoTable" fullCalcOnLoad="1" iterate="1" iterateCount="100" iterateDelta="0.0001"/>
</workbook>
</file>

<file path=xl/comments10.xml><?xml version="1.0" encoding="utf-8"?>
<comments xmlns="http://schemas.openxmlformats.org/spreadsheetml/2006/main">
  <authors>
    <author>user</author>
  </authors>
  <commentList>
    <comment ref="B21" authorId="0">
      <text>
        <r>
          <rPr>
            <sz val="8"/>
            <rFont val="Tahoma"/>
            <family val="0"/>
          </rPr>
          <t>Одна из простейших моделей прогнозирования банкротства.
Базируется на двух ключевых показателях, от которых зависит вероятность банкротства: коэффициент покрытия (характеризует ликвидность) и коэффициент финансовой зависимости (характеризует финансовую устойчивость)
Весовые значения коэффициентов выявляются эмпирическим путем.</t>
        </r>
      </text>
    </comment>
    <comment ref="B36" authorId="0">
      <text>
        <r>
          <rPr>
            <sz val="8"/>
            <rFont val="Tahoma"/>
            <family val="0"/>
          </rPr>
          <t xml:space="preserve">В западной практике широко используется пятифакторная модель прогнозирования банкротства, предложенная Альтманом  в 1968г. на основе исследования финансовых коэффициентов с помощью аппарата дискриминантного анализа.
</t>
        </r>
      </text>
    </comment>
    <comment ref="B77" authorId="0">
      <text>
        <r>
          <rPr>
            <sz val="8"/>
            <rFont val="Tahoma"/>
            <family val="0"/>
          </rPr>
          <t xml:space="preserve">В западной практике широко используется пятифакторная модель прогнозирования банкротства, предложенная Альтманом  в 1968г. на основе исследования финансовых коэффициентов с помощью аппарата дискриминантного анализа.
</t>
        </r>
      </text>
    </comment>
    <comment ref="B97" authorId="0">
      <text>
        <r>
          <rPr>
            <sz val="8"/>
            <rFont val="Tahoma"/>
            <family val="0"/>
          </rPr>
          <t xml:space="preserve">      Учеными Иркутской государственной экономической академии предложена четырехфакторная модель прогноза риска банкротства</t>
        </r>
      </text>
    </comment>
  </commentList>
</comments>
</file>

<file path=xl/comments30.xml><?xml version="1.0" encoding="utf-8"?>
<comments xmlns="http://schemas.openxmlformats.org/spreadsheetml/2006/main">
  <authors>
    <author>Наташа</author>
  </authors>
  <commentList>
    <comment ref="A37" authorId="0">
      <text>
        <r>
          <rPr>
            <b/>
            <sz val="8"/>
            <rFont val="Tahoma"/>
            <family val="0"/>
          </rPr>
          <t>Цифры условные</t>
        </r>
      </text>
    </comment>
  </commentList>
</comments>
</file>

<file path=xl/sharedStrings.xml><?xml version="1.0" encoding="utf-8"?>
<sst xmlns="http://schemas.openxmlformats.org/spreadsheetml/2006/main" count="1773" uniqueCount="1041">
  <si>
    <t>Прирост выручки (отдачи), %</t>
  </si>
  <si>
    <r>
      <t>4.</t>
    </r>
    <r>
      <rPr>
        <sz val="9"/>
        <color indexed="9"/>
        <rFont val="Arial Cyr"/>
        <family val="0"/>
      </rPr>
      <t xml:space="preserve"> Увеличение (+), уменьшение (-) капитала и резервов (за исключением нераспред. прибыли)</t>
    </r>
  </si>
  <si>
    <r>
      <t>5.</t>
    </r>
    <r>
      <rPr>
        <sz val="9"/>
        <color indexed="9"/>
        <rFont val="Arial Cyr"/>
        <family val="0"/>
      </rPr>
      <t xml:space="preserve"> Увеличение (+), уменьшение (-) долгосрочных обязательств</t>
    </r>
  </si>
  <si>
    <r>
      <t>6.</t>
    </r>
    <r>
      <rPr>
        <sz val="9"/>
        <color indexed="9"/>
        <rFont val="Arial Cyr"/>
        <family val="0"/>
      </rPr>
      <t xml:space="preserve"> Увеличение (+), уменьшение (-) краткосрочных обязательств</t>
    </r>
  </si>
  <si>
    <r>
      <t xml:space="preserve">Раздел Капитал и резервы / Валюта баланса  В </t>
    </r>
    <r>
      <rPr>
        <b/>
        <i/>
        <sz val="9"/>
        <rFont val="Times New Roman"/>
        <family val="1"/>
      </rPr>
      <t>Собственный капитал</t>
    </r>
    <r>
      <rPr>
        <i/>
        <sz val="9"/>
        <rFont val="Times New Roman"/>
        <family val="1"/>
      </rPr>
      <t xml:space="preserve"> можно ввести Доходы будущих периодов</t>
    </r>
  </si>
  <si>
    <t>Форма № 5 Расходы по элементам либо Главная книга Дебет Счет затрат/10</t>
  </si>
  <si>
    <r>
      <t>3.</t>
    </r>
    <r>
      <rPr>
        <sz val="8"/>
        <rFont val="Arial"/>
        <family val="2"/>
      </rPr>
      <t xml:space="preserve"> Среднегодовая стоимость ОС и НМА (первоначальная стоимость)</t>
    </r>
  </si>
  <si>
    <r>
      <t>13.</t>
    </r>
    <r>
      <rPr>
        <sz val="8"/>
        <rFont val="Arial"/>
        <family val="2"/>
      </rPr>
      <t xml:space="preserve"> Фондоотдача (по первоначальной стоимости) п.1/п.3</t>
    </r>
  </si>
  <si>
    <t>Форма № 5 Расходы по элементам либо Главная книга Оборот по кредиту счета 70</t>
  </si>
  <si>
    <t>Анализ обеспеченности запасов источниками за 2003-2005 гг.</t>
  </si>
  <si>
    <t>Анализ показателей ликвидности за 2003-2005 гг.</t>
  </si>
  <si>
    <r>
      <t>1.</t>
    </r>
    <r>
      <rPr>
        <sz val="8"/>
        <rFont val="Arial"/>
        <family val="2"/>
      </rPr>
      <t xml:space="preserve"> Чистый денежный поток</t>
    </r>
  </si>
  <si>
    <r>
      <t>2.</t>
    </r>
    <r>
      <rPr>
        <sz val="8"/>
        <rFont val="Arial"/>
        <family val="2"/>
      </rPr>
      <t xml:space="preserve"> Выплаты по долгосрочным и краткосрочным кредитам</t>
    </r>
  </si>
  <si>
    <t>Расчет среднесписочной численности работников производится на основании ежедневного учета списочной численности работников, которая должна уточняться на основании приказов о приеме, переводе работников на другую работу и прекращении трудового договора.
Численность работников списочного состава за каждый день должна соответствовать данным табеля учета использования рабочего времени работников, на основании которого устанавливается численность работников, явившихся и не явившихся на работу.
Основными унифицированными формами первичной документации по учету труда и его оплаты являются: приказы (распоряжения) о приеме работника на работу, переводе работника на другую работу, предоставлении отпуска работнику, прекращении (расторжении) трудового договора с работником (увольнении) (ф. ф. N N Т-1, Т-5, Т-6, Т-8), личная карточка работника (ф. N Т-2), табель учета рабочего времени и расчета оплаты труда (ф. N Т-12), табель учета рабочего времени (ф. N Т-13), расчетно-платежная ведомость (ф. N Т-49) и другие документы, утвержденные Постановлением Госкомстата России от 05.01.2004 N 1.</t>
  </si>
  <si>
    <t>Формы статистики, 4-ФСС См. также *</t>
  </si>
  <si>
    <t>Приток 2002</t>
  </si>
  <si>
    <t>Отток 2002</t>
  </si>
  <si>
    <t>Выручка-нетто 2004 (справочно из формы 2)</t>
  </si>
  <si>
    <t>* Среднесписочная численность работников за год определяется путем суммирования среднесписочной численности работников за все месяцы отчетного года и деления полученной суммы на 12.
Среднесписочная численность работников за месяц исчисляется путем суммирования списочной численности работников за каждый календарный день месяца, т.е. с 1 по 30 или 31 число (для февраля - по 28 или 29 число), включая праздничные (нерабочие) и выходные дни, и деления полученной суммы на число календарных дней месяца.
Численность работников списочного состава за выходной или праздничный (нерабочий) день принимается равной списочной численности работников за предшествующий рабочий день. При наличии двух или более выходных или праздничных (нерабочих) дней подряд численность работников списочного состава за каждый из этих дней принимается равной численности работников списочного состава за рабочий день, предшествовавший выходным и праздничным (нерабочим) дням.</t>
  </si>
  <si>
    <r>
      <t xml:space="preserve">Приобретение дочерних организаций, </t>
    </r>
    <r>
      <rPr>
        <sz val="8"/>
        <color indexed="23"/>
        <rFont val="Arial Cyr"/>
        <family val="2"/>
      </rPr>
      <t xml:space="preserve">должен быть </t>
    </r>
    <r>
      <rPr>
        <b/>
        <sz val="8"/>
        <color indexed="23"/>
        <rFont val="Arial Cyr"/>
        <family val="2"/>
      </rPr>
      <t>"минус"</t>
    </r>
  </si>
  <si>
    <r>
      <t>Погашение займов и кредитов (без процентов), "</t>
    </r>
    <r>
      <rPr>
        <b/>
        <sz val="8"/>
        <color indexed="23"/>
        <rFont val="Arial Cyr"/>
        <family val="2"/>
      </rPr>
      <t>минус</t>
    </r>
    <r>
      <rPr>
        <sz val="8"/>
        <color indexed="23"/>
        <rFont val="Arial Cyr"/>
        <family val="2"/>
      </rPr>
      <t>"</t>
    </r>
  </si>
  <si>
    <r>
      <t xml:space="preserve">Погшение обязательств по финансовой аренде, </t>
    </r>
    <r>
      <rPr>
        <b/>
        <sz val="8"/>
        <color indexed="23"/>
        <rFont val="Arial Cyr"/>
        <family val="2"/>
      </rPr>
      <t>"минус"</t>
    </r>
  </si>
  <si>
    <t>Анализ структуры реального собственного капитала (чистых активов) за 2003 г.</t>
  </si>
  <si>
    <t>Анализ структуры скорректированных внеоборотных активов за 2004 г.</t>
  </si>
  <si>
    <t>Анализ структуры скорректированных оборотных активов за 2004 г.</t>
  </si>
  <si>
    <t>Анализ структуры запасов за 2004 г.</t>
  </si>
  <si>
    <t>Анализ структуры активов за 2004 г.</t>
  </si>
  <si>
    <t>Анализ структуры заемных средств (скорректированных) за 2004 г.</t>
  </si>
  <si>
    <t>Анализ структуры пассивов за 2004 г.</t>
  </si>
  <si>
    <t>Анализ ликвидности баланса 2004 г.</t>
  </si>
  <si>
    <t>Актив 01.01.05</t>
  </si>
  <si>
    <t>Пассив 01.01.05</t>
  </si>
  <si>
    <t>Анализ основных факторов чистой прибыли за 2004 г.</t>
  </si>
  <si>
    <t>Анализ укрупненных факторов прибыли от продаж за 2004 г.</t>
  </si>
  <si>
    <t>Сводный анализ показателей интенсификации и эффективности за 2003 - 2004 гг.</t>
  </si>
  <si>
    <t>Вспомогательная таблица - Показатели отдачи за 2003 - 2004 гг.</t>
  </si>
  <si>
    <r>
      <t>7.</t>
    </r>
    <r>
      <rPr>
        <sz val="9"/>
        <color indexed="9"/>
        <rFont val="Arial Cyr"/>
        <family val="0"/>
      </rPr>
      <t xml:space="preserve"> Изменение денежных средств за период п. 1 + п. 2 +п. 3 + п. 4 + п. 5 + п. 6</t>
    </r>
  </si>
  <si>
    <r>
      <t>8.</t>
    </r>
    <r>
      <rPr>
        <sz val="9"/>
        <color indexed="9"/>
        <rFont val="Arial Cyr"/>
        <family val="0"/>
      </rPr>
      <t xml:space="preserve"> Денежные средства на начало</t>
    </r>
  </si>
  <si>
    <r>
      <t>9.</t>
    </r>
    <r>
      <rPr>
        <sz val="9"/>
        <color indexed="9"/>
        <rFont val="Arial Cyr"/>
        <family val="0"/>
      </rPr>
      <t xml:space="preserve"> Денежные средства на конец</t>
    </r>
  </si>
  <si>
    <t>Категории работников</t>
  </si>
  <si>
    <t>Руководители</t>
  </si>
  <si>
    <t>Специалисты</t>
  </si>
  <si>
    <t>Рабочие</t>
  </si>
  <si>
    <t>Итого среднесписочная численность работников</t>
  </si>
  <si>
    <t>Состав работников по категориям</t>
  </si>
  <si>
    <t>Движение рабочей силы</t>
  </si>
  <si>
    <t>Отклонение 2003 г. от 2001 г.</t>
  </si>
  <si>
    <t>В том числе</t>
  </si>
  <si>
    <r>
      <t>1.</t>
    </r>
    <r>
      <rPr>
        <sz val="8"/>
        <rFont val="Arial"/>
        <family val="2"/>
      </rPr>
      <t xml:space="preserve"> Численность промышленно-производственного персонала на начало года, чел.</t>
    </r>
  </si>
  <si>
    <r>
      <t>2.</t>
    </r>
    <r>
      <rPr>
        <sz val="8"/>
        <rFont val="Arial"/>
        <family val="2"/>
      </rPr>
      <t xml:space="preserve"> Принято на работу, чел.</t>
    </r>
  </si>
  <si>
    <r>
      <t>3.</t>
    </r>
    <r>
      <rPr>
        <sz val="8"/>
        <rFont val="Arial"/>
        <family val="2"/>
      </rPr>
      <t xml:space="preserve"> Выбыло, чел.</t>
    </r>
  </si>
  <si>
    <r>
      <t>3.1</t>
    </r>
    <r>
      <rPr>
        <sz val="8"/>
        <rFont val="Arial"/>
        <family val="2"/>
      </rPr>
      <t xml:space="preserve"> по собственному желанию</t>
    </r>
  </si>
  <si>
    <r>
      <t>3.2</t>
    </r>
    <r>
      <rPr>
        <sz val="8"/>
        <rFont val="Arial"/>
        <family val="2"/>
      </rPr>
      <t xml:space="preserve"> уволено за нарушение трудовой дисциплины</t>
    </r>
  </si>
  <si>
    <r>
      <t>5.</t>
    </r>
    <r>
      <rPr>
        <sz val="8"/>
        <rFont val="Arial"/>
        <family val="2"/>
      </rPr>
      <t xml:space="preserve"> Среднесписочная численность персонала, чел.</t>
    </r>
  </si>
  <si>
    <r>
      <t>6.</t>
    </r>
    <r>
      <rPr>
        <sz val="8"/>
        <rFont val="Arial"/>
        <family val="2"/>
      </rPr>
      <t xml:space="preserve"> Количество работников, проработавших весь год, чел</t>
    </r>
  </si>
  <si>
    <r>
      <t>7.</t>
    </r>
    <r>
      <rPr>
        <sz val="8"/>
        <rFont val="Arial"/>
        <family val="2"/>
      </rPr>
      <t xml:space="preserve"> Коэффициент оборота по приему работников     (п.2/п.5)</t>
    </r>
  </si>
  <si>
    <r>
      <t>8.</t>
    </r>
    <r>
      <rPr>
        <sz val="8"/>
        <rFont val="Arial"/>
        <family val="2"/>
      </rPr>
      <t xml:space="preserve"> Коэффициент оборота по выбытию работников (п.3/п.5)</t>
    </r>
  </si>
  <si>
    <t>Форма № 2 Отчет о прибылях и убытках</t>
  </si>
  <si>
    <t xml:space="preserve">2.2. Годовой фонд оплаты труда персонала, тыс. руб. </t>
  </si>
  <si>
    <t>Форма № 1 (Внеобор. активы начало + Внеобор. активы конец)/2</t>
  </si>
  <si>
    <t>2.5. Средняя величина основных средств (по первоначальной стоимости), тыс. руб</t>
  </si>
  <si>
    <t>Форма № 5 (Первонач. ст-ть ОС начало + Первонач. ст-ть ОС конец)/2</t>
  </si>
  <si>
    <t>Форма № 1 (Обор. активы начало + Обор. активы конец)/2</t>
  </si>
  <si>
    <t>Форма № 1 Раздел Капитал и резервы + Доходы будущих периодов</t>
  </si>
  <si>
    <t>Форма № 2 Себестоимость продаж + Коммерческие расходы + Управленческие расходы</t>
  </si>
  <si>
    <t xml:space="preserve">3.1. Прибыль (убыток) от продаж, тыс. руб. </t>
  </si>
  <si>
    <t>Форма № 2</t>
  </si>
  <si>
    <t xml:space="preserve">3.2. Прибыль (убыток) до налогообложения, тыс. руб. </t>
  </si>
  <si>
    <t xml:space="preserve">4.1. Среднемесячная зарплата одного работника, тыс. руб. </t>
  </si>
  <si>
    <t>п. 2.2 / (п. 2.3 * 12)</t>
  </si>
  <si>
    <t>п. 1.1 / п. 2.3 Хотя лучше считать не по выручке, а по выработке 43/20 либо 90/20</t>
  </si>
  <si>
    <t>п.1.1 / п. 2.5  Хотя лучше считать не по выручке, а по выработке 43/20 либо 90/20</t>
  </si>
  <si>
    <t>п.2.1 / п. 1.1  Хотя лучше считать не по выручке, а по выработке 43/20 либо 90/20</t>
  </si>
  <si>
    <t>п. 1.1 / п. 2.6</t>
  </si>
  <si>
    <t>п. 2.8 / п. 1.1</t>
  </si>
  <si>
    <t>п. 3.1 / п. 1.1</t>
  </si>
  <si>
    <t>п. 3.3 / (п. 2.4 + п. 2.6)</t>
  </si>
  <si>
    <t>Денежные средства + Краткосрочн. фин. вложения / Краткосрочные обязательства</t>
  </si>
  <si>
    <t>Оборотные активы / Краткосрочные обязательства</t>
  </si>
  <si>
    <t>(Капитал и резервы - Внеоборотные активы)/Оборотные активы</t>
  </si>
  <si>
    <r>
      <t>9.</t>
    </r>
    <r>
      <rPr>
        <sz val="8"/>
        <rFont val="Arial"/>
        <family val="2"/>
      </rPr>
      <t xml:space="preserve"> Коэффициент текучести кадров                          ((п.3.1+п.3.2)/п.5)</t>
    </r>
  </si>
  <si>
    <r>
      <t>10.</t>
    </r>
    <r>
      <rPr>
        <sz val="8"/>
        <rFont val="Arial"/>
        <family val="2"/>
      </rPr>
      <t xml:space="preserve"> Коэффициент постоянства кадров (п.6/п.5)</t>
    </r>
  </si>
  <si>
    <t>2.1. Материальные затраты на производство и продажу, тыс. руб.</t>
  </si>
  <si>
    <t>Код строки</t>
  </si>
  <si>
    <t>АКТИВ</t>
  </si>
  <si>
    <t>I. ВНЕОБОРОТНЫЕ АКГИВЫ</t>
  </si>
  <si>
    <t>Основные средства (01, 02)</t>
  </si>
  <si>
    <t>Незавершенное строительство (07,08,16)</t>
  </si>
  <si>
    <t>Долгосрочные финансовые вложения (58,59)</t>
  </si>
  <si>
    <t>Прочие внеоборотные активы</t>
  </si>
  <si>
    <t>Итого по разделу I</t>
  </si>
  <si>
    <t>II ОБОРОТНЫЕ АКТИВЫ</t>
  </si>
  <si>
    <t>Запасы</t>
  </si>
  <si>
    <t>сырье, материалы, н другие аналогичные ценности (10,14,15,16)</t>
  </si>
  <si>
    <t>затраты в незавершенном производстве (издержки обращения) (20,21,23,29,44,46)</t>
  </si>
  <si>
    <t>готовая продукция и товары для перепродажи (15,16,41,42,43)</t>
  </si>
  <si>
    <t>товары отгруженные (45)</t>
  </si>
  <si>
    <t>расходы будущих периодов (97)</t>
  </si>
  <si>
    <t>прочие запасы и затраты</t>
  </si>
  <si>
    <t>Налог на добавленную стоимость по приобретенным ценностям (19)</t>
  </si>
  <si>
    <t>Дебиторская задолженность (платежи по которой ожидаются более чем через 12 месяцев после отчетной даты)</t>
  </si>
  <si>
    <t>покупатели и заказчики (62,63,76)</t>
  </si>
  <si>
    <t>векселя к получению (62,76)</t>
  </si>
  <si>
    <t>задолженность дочерних и зависимых обществ (58,60,62,75,76)</t>
  </si>
  <si>
    <t>авансы выданные (60)</t>
  </si>
  <si>
    <t>прочие дебиторы</t>
  </si>
  <si>
    <t>Дебиторская задолженность (платежи по которой ожидаются в течение 12 месяцев после отчетной даты)</t>
  </si>
  <si>
    <t>задолженность дочерних и зависимых обществ</t>
  </si>
  <si>
    <t>задолженность участников (учредителей) по взносам в уставной капитал (58,60,62,75,76)</t>
  </si>
  <si>
    <t>Краткосрочные финансовые вложения (58,59,81)</t>
  </si>
  <si>
    <t>№ п/п</t>
  </si>
  <si>
    <t>Содержание операции</t>
  </si>
  <si>
    <t>Сумма</t>
  </si>
  <si>
    <t>Приобретены материалы у поставщиков                Д-т 10 К-т 60</t>
  </si>
  <si>
    <t>НДС с суммы поступивших товаров - 18%           Д-т 19  К-т 60</t>
  </si>
  <si>
    <t>Оплачена кредиторская задолженность поставщикам   Д-т 60  К-т 51</t>
  </si>
  <si>
    <t>Материальные затраты на основное производство   Д-т 20   К-т 10</t>
  </si>
  <si>
    <t>Материальные затраты на общепроизводственные расходы  Д-т 25   К-т 10</t>
  </si>
  <si>
    <t>Материальные затраты на общехозяйственные нужды    Д-т 26  К-т 10</t>
  </si>
  <si>
    <t>Затраты на оплату труда основных рабочих         Д-т 20  К-т 70</t>
  </si>
  <si>
    <t>Затраты на оплату труда рабочих, занятых обслуживании производства         Д-т 25  К-т 70</t>
  </si>
  <si>
    <t>Затраты на оплату труда управленческого персонала                                    Д-т 26   К-т 70</t>
  </si>
  <si>
    <t>Отчисления на соц. нужды с заработной платы основных рабочих                        Д-т 20   К-т 69</t>
  </si>
  <si>
    <t>Отчисления на соц. нужды с заработной платы олбщепроизводственных рабочих Д-т 25   К-т 69</t>
  </si>
  <si>
    <t>Отчисления на соц. нужды с заработной платы управленческого персонала          Д-т 26   К-т 69</t>
  </si>
  <si>
    <t xml:space="preserve">Начислен НДФЛ                           Д-т 70   К-т 68      </t>
  </si>
  <si>
    <t>Поступили денежные средства на оптату труда                                 Д-т 50    К-т 51</t>
  </si>
  <si>
    <t xml:space="preserve">Оплачена кредиторская задолженность по оплате труда                                           Д-т 70 К-т 50        </t>
  </si>
  <si>
    <t>Начислена амортизация основных средств основного производства               Д-т 20   К-т 02</t>
  </si>
  <si>
    <t>Начислена амортизация основных средств производственного назначения     Д-т 25   К-т 02</t>
  </si>
  <si>
    <t>Начислена амортизация основных средств, используемых в управленческих нуждах            Д-т 26   К-т 02</t>
  </si>
  <si>
    <t>Начислена амортизация нематериальных активов    Д-т 26   К-т 05</t>
  </si>
  <si>
    <t>Списаны общепроизводственные расходы            Д-т 20 К-т 25</t>
  </si>
  <si>
    <t>Списаны общехозяйственные расходы                 Д-т 90-2 К-т 26</t>
  </si>
  <si>
    <t>Произведена готовая продукция      Д-т 43  К-т 20</t>
  </si>
  <si>
    <t>Выручка за проданную продукцию Д-т 62  К-т 90-1</t>
  </si>
  <si>
    <t>НДС по проданной продукции       Д-т 90-3  К-т 68</t>
  </si>
  <si>
    <t>Списана себестоимость проданной продукции       Д-т 90-2  К-т 43</t>
  </si>
  <si>
    <t>Оценка значений       :                                      &lt;0,2, очень высокая вероятность банкротства                                                              &gt;0,3 вероятность банкротства невелика</t>
  </si>
  <si>
    <t>Оценка значений         :                                      &lt;0,037, высокая вероятность банкротства                                                              &gt;0,037 вероятность банкротства невелика.</t>
  </si>
  <si>
    <t>Отражены расходы на на доставку готовой продукции                                       Д-т 44  К-т 76</t>
  </si>
  <si>
    <t>Списаны коммерческие расходы на продажу продукции                                     Д-т 90-2  К-т 44</t>
  </si>
  <si>
    <t>Отражен финансовый результат от продажи продукции                                     Д-т 90-9  К-т 99</t>
  </si>
  <si>
    <t>Налог на прибыль                           Д-т 99  К-т 68</t>
  </si>
  <si>
    <t>Послтупили денежные средства от покупателей    Д-т 51  К-т 62</t>
  </si>
  <si>
    <t>безналичные платежи в бюджет по налогам и сборам                                           Д-т 68  К-т 51</t>
  </si>
  <si>
    <t xml:space="preserve">безналичные платежи в небюджетные фонды       Д-т 69   К-т 51   </t>
  </si>
  <si>
    <t>ИТОГО</t>
  </si>
  <si>
    <t>Оборотная ведомость</t>
  </si>
  <si>
    <t>№ счета</t>
  </si>
  <si>
    <t>Наименование счета</t>
  </si>
  <si>
    <t>Сальдо на начало</t>
  </si>
  <si>
    <t xml:space="preserve">Оборот </t>
  </si>
  <si>
    <t>Сальдо на конец</t>
  </si>
  <si>
    <t>Дебет</t>
  </si>
  <si>
    <t>Кредит</t>
  </si>
  <si>
    <t>01</t>
  </si>
  <si>
    <t>02</t>
  </si>
  <si>
    <t>Амортизация основных средств</t>
  </si>
  <si>
    <t>04</t>
  </si>
  <si>
    <t>05</t>
  </si>
  <si>
    <t>Амортизация нематериальных активов</t>
  </si>
  <si>
    <t>08</t>
  </si>
  <si>
    <t>Вложения во внеоборотные активы</t>
  </si>
  <si>
    <t>09</t>
  </si>
  <si>
    <t>10</t>
  </si>
  <si>
    <t>Материалы</t>
  </si>
  <si>
    <t>19</t>
  </si>
  <si>
    <t>20</t>
  </si>
  <si>
    <t>Основное производство</t>
  </si>
  <si>
    <t>25</t>
  </si>
  <si>
    <t>Общепроизводственные расходы</t>
  </si>
  <si>
    <t>26</t>
  </si>
  <si>
    <t>Общехозяйственные расходы</t>
  </si>
  <si>
    <t>43</t>
  </si>
  <si>
    <t>Готовая продукция</t>
  </si>
  <si>
    <t>44</t>
  </si>
  <si>
    <t>Расходы на продажу</t>
  </si>
  <si>
    <t>45</t>
  </si>
  <si>
    <t>50</t>
  </si>
  <si>
    <t>Касса</t>
  </si>
  <si>
    <t>51</t>
  </si>
  <si>
    <t>Расчетные счета</t>
  </si>
  <si>
    <t>52</t>
  </si>
  <si>
    <t>Валютные счета</t>
  </si>
  <si>
    <t>58-1</t>
  </si>
  <si>
    <t>58-2</t>
  </si>
  <si>
    <t>60</t>
  </si>
  <si>
    <t>Расчеты с поставщиками и подрядчиками</t>
  </si>
  <si>
    <t>62-1</t>
  </si>
  <si>
    <t>Расчеты с покупателями и заказчиками (долгосрочная)</t>
  </si>
  <si>
    <t>62-2</t>
  </si>
  <si>
    <t>Расчеты с покупателями и заказчиками (краткосрочная)</t>
  </si>
  <si>
    <t>66</t>
  </si>
  <si>
    <t>Расчеты по краткосрочным кредитам и займам</t>
  </si>
  <si>
    <t>67</t>
  </si>
  <si>
    <t>Расчеты по долгосрочным кредитам и займам</t>
  </si>
  <si>
    <t xml:space="preserve"> 68</t>
  </si>
  <si>
    <t>Расчеты по налогам и сборам</t>
  </si>
  <si>
    <t>69</t>
  </si>
  <si>
    <t>Расчеты по социальному страхованию и обеспечению</t>
  </si>
  <si>
    <t>70</t>
  </si>
  <si>
    <t>Расчеты с персоналом по оплате труда</t>
  </si>
  <si>
    <t>75</t>
  </si>
  <si>
    <t>Расчеты с учредителями</t>
  </si>
  <si>
    <t>76</t>
  </si>
  <si>
    <t>Расчеты с прочими дебиторами и кредиторами</t>
  </si>
  <si>
    <t>77</t>
  </si>
  <si>
    <t>80</t>
  </si>
  <si>
    <t>82</t>
  </si>
  <si>
    <t>83</t>
  </si>
  <si>
    <t>84</t>
  </si>
  <si>
    <t>90.1</t>
  </si>
  <si>
    <t>выручка</t>
  </si>
  <si>
    <t>90.2</t>
  </si>
  <si>
    <t>себестоимость продаж</t>
  </si>
  <si>
    <t>90.3</t>
  </si>
  <si>
    <t xml:space="preserve">ндс </t>
  </si>
  <si>
    <t>90.9</t>
  </si>
  <si>
    <t>прибыль/убыток от продаж</t>
  </si>
  <si>
    <t>97</t>
  </si>
  <si>
    <t>98</t>
  </si>
  <si>
    <t>99</t>
  </si>
  <si>
    <t>Прибыли и убытки</t>
  </si>
  <si>
    <t>Прогнозный аналитический баланс</t>
  </si>
  <si>
    <t>займы, предоставленные организациям на срок не менее 12 месяцев</t>
  </si>
  <si>
    <t>Активы</t>
  </si>
  <si>
    <t>Пассивы</t>
  </si>
  <si>
    <t>собственные акции, выкупленные у акционеров</t>
  </si>
  <si>
    <t>прочие краткосрочные финансовые вложения</t>
  </si>
  <si>
    <t>Денежные средства</t>
  </si>
  <si>
    <t>касса (50)</t>
  </si>
  <si>
    <t>расчетные счета (51)</t>
  </si>
  <si>
    <t>валютные счета (52)</t>
  </si>
  <si>
    <t>прочие денежные средства (55,57)</t>
  </si>
  <si>
    <t>Прочие оборотные активы</t>
  </si>
  <si>
    <t>Итого по разделу П</t>
  </si>
  <si>
    <t>БАЛАНС (сумма строк 190+290)</t>
  </si>
  <si>
    <t>ПАССИВ</t>
  </si>
  <si>
    <t>Добавочный капитал (83)</t>
  </si>
  <si>
    <t>Резервный капитал (82)</t>
  </si>
  <si>
    <t xml:space="preserve"> резервные фонды, образованные в соответствии с законодательством</t>
  </si>
  <si>
    <t>резервные фонды, образованные в соответствии с учредительными</t>
  </si>
  <si>
    <t>Фонд социальной сферы (84)</t>
  </si>
  <si>
    <t>Целевые финансирование и поступления (86)</t>
  </si>
  <si>
    <t>Нераспределенная прибыль прошлых лет (84)</t>
  </si>
  <si>
    <t>Нераспределенная прибыль отчетного года (84)</t>
  </si>
  <si>
    <t>Итого по разделу IV</t>
  </si>
  <si>
    <t>Займы и кредиты (67)</t>
  </si>
  <si>
    <t xml:space="preserve"> кредиты банков, подлежащие погашению более чем через 12 месяцев </t>
  </si>
  <si>
    <t xml:space="preserve">прочие займы, подлежащие погашению более чем через 12 месяцев </t>
  </si>
  <si>
    <t>Займы и кредиты (66)</t>
  </si>
  <si>
    <t>кредиты банков</t>
  </si>
  <si>
    <t>прочие займы</t>
  </si>
  <si>
    <t>Кредиторская задолженность</t>
  </si>
  <si>
    <t>поставщики и подрядчики (60, 76)</t>
  </si>
  <si>
    <t>векселя к уплате (60,76)</t>
  </si>
  <si>
    <t>задолженность перец дочерними и зависимыми обществами (60,62,66,67,75,76)</t>
  </si>
  <si>
    <t>задолженность перед персоналом организации (70)</t>
  </si>
  <si>
    <t>задолженность перед государственными внебюджетными фондами (69)</t>
  </si>
  <si>
    <t>задолженность перед бюджетом (68)</t>
  </si>
  <si>
    <t>авансы полученные (62,76)</t>
  </si>
  <si>
    <t>прочие кредиторы</t>
  </si>
  <si>
    <t>Задолженность участникам (учредителям) по выплате доходов (75)</t>
  </si>
  <si>
    <t>Доходы будущих периодов (98)</t>
  </si>
  <si>
    <t>Резервы предстоящих расходов и платежей (96)</t>
  </si>
  <si>
    <t>Прочие краткосрочные пассивы</t>
  </si>
  <si>
    <t>БАЛАНС (сумма строк 490+590+690)</t>
  </si>
  <si>
    <t>Наименование показателя</t>
  </si>
  <si>
    <t>Выручка (нетто) от реализации товаров, продукции, работ, услуг (за минусом налога на добавленную стоимость, акцизов и аналогичных обязательных платежей)</t>
  </si>
  <si>
    <t>в том числе от продажи</t>
  </si>
  <si>
    <t>Себестоимость реализации товаров, продукции, работ, услуг</t>
  </si>
  <si>
    <t>в том числе проданных</t>
  </si>
  <si>
    <t>Валовая прибыль</t>
  </si>
  <si>
    <t>Коммерческие расходы</t>
  </si>
  <si>
    <t>Управленческие расходы</t>
  </si>
  <si>
    <t>Прибыль (убыток) от реализации (строки (010-020-030-040))</t>
  </si>
  <si>
    <t>Проценты к уплате</t>
  </si>
  <si>
    <t xml:space="preserve">             Прогнозный аналитический отчет о прибылях и убытках</t>
  </si>
  <si>
    <r>
      <t>3.</t>
    </r>
    <r>
      <rPr>
        <sz val="8"/>
        <rFont val="Arial"/>
        <family val="2"/>
      </rPr>
      <t xml:space="preserve"> Дивиденды, выплаченные за анализируемый период</t>
    </r>
  </si>
  <si>
    <r>
      <t>4.</t>
    </r>
    <r>
      <rPr>
        <sz val="8"/>
        <rFont val="Arial"/>
        <family val="2"/>
      </rPr>
      <t xml:space="preserve"> Отток денежных средств за анализируемый период</t>
    </r>
  </si>
  <si>
    <r>
      <t>5.</t>
    </r>
    <r>
      <rPr>
        <sz val="8"/>
        <rFont val="Arial"/>
        <family val="2"/>
      </rPr>
      <t xml:space="preserve"> Прирост внеоборотных активов, связанный с произведенными организацией затратами </t>
    </r>
  </si>
  <si>
    <r>
      <t>6.</t>
    </r>
    <r>
      <rPr>
        <sz val="8"/>
        <rFont val="Arial"/>
        <family val="2"/>
      </rPr>
      <t xml:space="preserve"> Приращение остатков денежных средств </t>
    </r>
  </si>
  <si>
    <r>
      <t>7.</t>
    </r>
    <r>
      <rPr>
        <sz val="8"/>
        <rFont val="Arial"/>
        <family val="2"/>
      </rPr>
      <t xml:space="preserve"> Положительный денежный поток</t>
    </r>
  </si>
  <si>
    <r>
      <t>8.</t>
    </r>
    <r>
      <rPr>
        <sz val="8"/>
        <rFont val="Arial"/>
        <family val="2"/>
      </rPr>
      <t xml:space="preserve"> Чистая прибыль</t>
    </r>
  </si>
  <si>
    <r>
      <t>9.</t>
    </r>
    <r>
      <rPr>
        <sz val="8"/>
        <rFont val="Arial"/>
        <family val="2"/>
      </rPr>
      <t xml:space="preserve"> Средняя величина остатков денежных средств </t>
    </r>
  </si>
  <si>
    <r>
      <t>10.</t>
    </r>
    <r>
      <rPr>
        <sz val="8"/>
        <rFont val="Arial"/>
        <family val="2"/>
      </rPr>
      <t xml:space="preserve"> Прибыль от продаж</t>
    </r>
  </si>
  <si>
    <r>
      <t>11.</t>
    </r>
    <r>
      <rPr>
        <sz val="8"/>
        <rFont val="Arial"/>
        <family val="2"/>
      </rPr>
      <t xml:space="preserve"> Прибыль от инвестиционной деятельности</t>
    </r>
  </si>
  <si>
    <r>
      <t>12.</t>
    </r>
    <r>
      <rPr>
        <sz val="8"/>
        <rFont val="Arial"/>
        <family val="2"/>
      </rPr>
      <t xml:space="preserve"> Положительный денежный поток от инвест. деят-ти </t>
    </r>
  </si>
  <si>
    <r>
      <t>13.</t>
    </r>
    <r>
      <rPr>
        <sz val="8"/>
        <rFont val="Arial"/>
        <family val="2"/>
      </rPr>
      <t xml:space="preserve"> Прибыль от финансовой деятельности</t>
    </r>
  </si>
  <si>
    <r>
      <t>14.</t>
    </r>
    <r>
      <rPr>
        <sz val="8"/>
        <rFont val="Arial"/>
        <family val="2"/>
      </rPr>
      <t xml:space="preserve"> Положительный денежный поток от финанс. деят-ти </t>
    </r>
  </si>
  <si>
    <r>
      <t>15.</t>
    </r>
    <r>
      <rPr>
        <sz val="8"/>
        <rFont val="Arial"/>
        <family val="2"/>
      </rPr>
      <t xml:space="preserve"> Разница между займами полученными и выданными </t>
    </r>
  </si>
  <si>
    <r>
      <t>16.</t>
    </r>
    <r>
      <rPr>
        <sz val="8"/>
        <rFont val="Arial"/>
        <family val="2"/>
      </rPr>
      <t xml:space="preserve"> Коэффициент достаточности чистого денежного потока п.1/(п.2+п.3+п.15)</t>
    </r>
  </si>
  <si>
    <r>
      <t>17.</t>
    </r>
    <r>
      <rPr>
        <sz val="8"/>
        <rFont val="Arial"/>
        <family val="2"/>
      </rPr>
      <t xml:space="preserve"> Коэффициент эффективности денежных потоков п.1/п.4</t>
    </r>
  </si>
  <si>
    <r>
      <t>18.</t>
    </r>
    <r>
      <rPr>
        <sz val="8"/>
        <rFont val="Arial"/>
        <family val="2"/>
      </rPr>
      <t xml:space="preserve"> Коэффициент реинвестирования денежных потоков (п.1-п.6)/п.5</t>
    </r>
  </si>
  <si>
    <r>
      <t>19.</t>
    </r>
    <r>
      <rPr>
        <sz val="8"/>
        <rFont val="Arial"/>
        <family val="2"/>
      </rPr>
      <t xml:space="preserve"> Коэффициент ликвидности (п.1-п.6)/п.4</t>
    </r>
  </si>
  <si>
    <r>
      <t>20.</t>
    </r>
    <r>
      <rPr>
        <sz val="8"/>
        <rFont val="Arial"/>
        <family val="2"/>
      </rPr>
      <t xml:space="preserve"> Рентабельность денежного потока п.8/п.7</t>
    </r>
  </si>
  <si>
    <r>
      <t>21.</t>
    </r>
    <r>
      <rPr>
        <sz val="8"/>
        <rFont val="Arial"/>
        <family val="2"/>
      </rPr>
      <t xml:space="preserve"> Коэффициент рентабельности среднего остатка п.8/п.9</t>
    </r>
  </si>
  <si>
    <r>
      <t>22.</t>
    </r>
    <r>
      <rPr>
        <sz val="8"/>
        <rFont val="Arial"/>
        <family val="2"/>
      </rPr>
      <t xml:space="preserve"> Коэффициент рентабельности чистого потока п.8/п.1</t>
    </r>
  </si>
  <si>
    <r>
      <t>23.</t>
    </r>
    <r>
      <rPr>
        <sz val="8"/>
        <rFont val="Arial"/>
        <family val="2"/>
      </rPr>
      <t xml:space="preserve"> Коэффициент рентабельности денежного потока по текущей деятельности п.10/п.7</t>
    </r>
  </si>
  <si>
    <r>
      <t>24.</t>
    </r>
    <r>
      <rPr>
        <sz val="8"/>
        <rFont val="Arial"/>
        <family val="2"/>
      </rPr>
      <t xml:space="preserve"> Коэффициент рентабельности денежного потока от инвестиционной деятельности п.11/п.12</t>
    </r>
  </si>
  <si>
    <r>
      <t>25.</t>
    </r>
    <r>
      <rPr>
        <sz val="8"/>
        <rFont val="Arial"/>
        <family val="2"/>
      </rPr>
      <t xml:space="preserve"> Коэффициент рентабельности положительного денежного потока от финансовой деятельности п.13/п.14</t>
    </r>
  </si>
  <si>
    <t>Доходы от участия в других организациях</t>
  </si>
  <si>
    <t>Прочие операционные доходы</t>
  </si>
  <si>
    <t>Прочие операционные расходы</t>
  </si>
  <si>
    <t>Прочие внереализационные расходы</t>
  </si>
  <si>
    <t>Прибыль (убыток) до налогообложения (строки (50+60-70+80+90-100+120-130))</t>
  </si>
  <si>
    <t>Налог на прибыль</t>
  </si>
  <si>
    <t>Чрезвычайные расходы</t>
  </si>
  <si>
    <t>Уставный капитал (80)</t>
  </si>
  <si>
    <t>Прибыль (убыток) от обычной деятельности</t>
  </si>
  <si>
    <t>Сравнение динамики активов и финансовых результатов</t>
  </si>
  <si>
    <t>Показатель</t>
  </si>
  <si>
    <t>Годы</t>
  </si>
  <si>
    <t>Темп прироста,</t>
  </si>
  <si>
    <t>% к предыдущему году</t>
  </si>
  <si>
    <t>Средняя величина активов</t>
  </si>
  <si>
    <t>Выручка от продаж</t>
  </si>
  <si>
    <t>Показатели</t>
  </si>
  <si>
    <t>величины</t>
  </si>
  <si>
    <t>Удельные веса (%) в общей величине внеоборотных активов</t>
  </si>
  <si>
    <t>Изменения</t>
  </si>
  <si>
    <t>На начало года</t>
  </si>
  <si>
    <t>На конец года</t>
  </si>
  <si>
    <t>в абсолютных величинах</t>
  </si>
  <si>
    <t>в удельных весах</t>
  </si>
  <si>
    <t>в % к изменению общей величины внеоборотных активов</t>
  </si>
  <si>
    <t>Нематериальные активы</t>
  </si>
  <si>
    <t>Основные средства</t>
  </si>
  <si>
    <t>Незавершенное строительство</t>
  </si>
  <si>
    <t>Доходные вложения в материальные ценности</t>
  </si>
  <si>
    <t>Долгосрочные финансовые вложения</t>
  </si>
  <si>
    <t>Долгосрочная дебиторская задолженность*</t>
  </si>
  <si>
    <t>Другие внеоборотные активы</t>
  </si>
  <si>
    <t>Итого внеоборотных активов</t>
  </si>
  <si>
    <t>НДС по приобретенным ценностям</t>
  </si>
  <si>
    <t>Краткосрочная дебиторская задолженность</t>
  </si>
  <si>
    <t>Краткосрочные финансовые вложения</t>
  </si>
  <si>
    <t>Другие оборотные активы</t>
  </si>
  <si>
    <t>Итого оборотных активов</t>
  </si>
  <si>
    <t>Сырье и материалы</t>
  </si>
  <si>
    <t>Животные на выращивании и откорме</t>
  </si>
  <si>
    <t>Затраты в незавершенном производстве (издержках обращения)</t>
  </si>
  <si>
    <t>Готовая продукция и товары для перепродажи</t>
  </si>
  <si>
    <t>Товары отгруженные</t>
  </si>
  <si>
    <t>Расходы будущих периодов</t>
  </si>
  <si>
    <t>Другие запасы и затраты</t>
  </si>
  <si>
    <t>Итого запасов</t>
  </si>
  <si>
    <t>Скорректированные внеоборотные активы</t>
  </si>
  <si>
    <t>Скорректированные оборотные активы</t>
  </si>
  <si>
    <t>Итого активов</t>
  </si>
  <si>
    <t>Коэффициент соотношения оборотных и внеоборотных активов</t>
  </si>
  <si>
    <t>на начало года</t>
  </si>
  <si>
    <t>на конец года</t>
  </si>
  <si>
    <t>Абсолютные величины</t>
  </si>
  <si>
    <t>* Сумма корректировки</t>
  </si>
  <si>
    <t>в % к изменению общей величины оборотных активов</t>
  </si>
  <si>
    <t>Удельные веса (%) в общей величине оборотных активов</t>
  </si>
  <si>
    <t>Удельные веса (%) в общей величине запасов</t>
  </si>
  <si>
    <t>в % к изменению общей величины запасов</t>
  </si>
  <si>
    <t>Удельные веса (%) в общей величине активов</t>
  </si>
  <si>
    <t>5 Четырехфакторная Z-модель Иркутской государственной экономической академии</t>
  </si>
  <si>
    <t>Удельные веса (%) в общей величине собственного капитала</t>
  </si>
  <si>
    <t>Уставный капитал</t>
  </si>
  <si>
    <t>Добавочный капитал</t>
  </si>
  <si>
    <t>Резервный капитал</t>
  </si>
  <si>
    <t>Фонд социальной сферы</t>
  </si>
  <si>
    <t>Нераспределенная прибыль (непокрытый убыток)</t>
  </si>
  <si>
    <t>Доходы будущих периодов</t>
  </si>
  <si>
    <t>Отрицательные корректировки</t>
  </si>
  <si>
    <t>Собственные акции, выкупленные у акционеров</t>
  </si>
  <si>
    <t>Задолженность участников по взносам в уставн. капитал</t>
  </si>
  <si>
    <t>Удельные веса (%) в общей величине заемных средств</t>
  </si>
  <si>
    <t>Долгоср. займы и кредиты</t>
  </si>
  <si>
    <t>Краткоср. займы и кредиты</t>
  </si>
  <si>
    <t>Краткосрочная кредиторская задолженность</t>
  </si>
  <si>
    <t>Расчеты по дивидендам</t>
  </si>
  <si>
    <t>Резервы предст. расходов</t>
  </si>
  <si>
    <t>Целевые финансирование и поступления</t>
  </si>
  <si>
    <t>Итого заемных средств (скорректированных)</t>
  </si>
  <si>
    <t>в % к изменению общей величины заемных средств</t>
  </si>
  <si>
    <t>в % к изменению общей величины собственного капитала</t>
  </si>
  <si>
    <t>в % к изменению общей величины активов</t>
  </si>
  <si>
    <r>
      <t>1.</t>
    </r>
    <r>
      <rPr>
        <sz val="8"/>
        <rFont val="Arial"/>
        <family val="2"/>
      </rPr>
      <t xml:space="preserve"> Реальный собств. капитал</t>
    </r>
  </si>
  <si>
    <r>
      <t>2.</t>
    </r>
    <r>
      <rPr>
        <sz val="8"/>
        <rFont val="Arial"/>
        <family val="2"/>
      </rPr>
      <t xml:space="preserve"> Заемные долгосрочные средства</t>
    </r>
  </si>
  <si>
    <r>
      <t>3.</t>
    </r>
    <r>
      <rPr>
        <sz val="8"/>
        <rFont val="Arial"/>
        <family val="2"/>
      </rPr>
      <t xml:space="preserve"> Заемные краткосрочные средства (скорректир.)</t>
    </r>
  </si>
  <si>
    <r>
      <t>4.</t>
    </r>
    <r>
      <rPr>
        <sz val="8"/>
        <rFont val="Arial"/>
        <family val="2"/>
      </rPr>
      <t xml:space="preserve"> Итого источников средств</t>
    </r>
  </si>
  <si>
    <t>-</t>
  </si>
  <si>
    <r>
      <t>5.</t>
    </r>
    <r>
      <rPr>
        <sz val="8"/>
        <rFont val="Arial"/>
        <family val="2"/>
      </rPr>
      <t xml:space="preserve"> Коэффициент автономии (п. 1/п. 4)</t>
    </r>
  </si>
  <si>
    <r>
      <t>7.</t>
    </r>
    <r>
      <rPr>
        <sz val="8"/>
        <rFont val="Arial"/>
        <family val="2"/>
      </rPr>
      <t xml:space="preserve"> Коэффициент соотношения краткоср. обязательств и перманентного капитала       (п. 3/(п. 1+п. 2))</t>
    </r>
  </si>
  <si>
    <t>Чистая прибыль за период</t>
  </si>
  <si>
    <r>
      <t>1.</t>
    </r>
    <r>
      <rPr>
        <sz val="8"/>
        <rFont val="Arial"/>
        <family val="2"/>
      </rPr>
      <t xml:space="preserve"> Реальный собственный капитал</t>
    </r>
  </si>
  <si>
    <t>&gt;0.2</t>
  </si>
  <si>
    <t>&gt;1</t>
  </si>
  <si>
    <t>&gt;2</t>
  </si>
  <si>
    <r>
      <t>1.</t>
    </r>
    <r>
      <rPr>
        <sz val="8"/>
        <rFont val="Arial"/>
        <family val="2"/>
      </rPr>
      <t xml:space="preserve"> Денежные средства</t>
    </r>
  </si>
  <si>
    <r>
      <t>2.</t>
    </r>
    <r>
      <rPr>
        <sz val="8"/>
        <rFont val="Arial"/>
        <family val="2"/>
      </rPr>
      <t xml:space="preserve"> Краткосрочные финансовые вложения</t>
    </r>
  </si>
  <si>
    <r>
      <t xml:space="preserve">6. </t>
    </r>
    <r>
      <rPr>
        <sz val="8"/>
        <rFont val="Arial"/>
        <family val="2"/>
      </rPr>
      <t>Общая сумма активов</t>
    </r>
  </si>
  <si>
    <r>
      <t>7.</t>
    </r>
    <r>
      <rPr>
        <sz val="8"/>
        <rFont val="Arial"/>
        <family val="2"/>
      </rPr>
      <t xml:space="preserve"> Собственные акции, выкупленные у акционеров</t>
    </r>
  </si>
  <si>
    <r>
      <t>8.</t>
    </r>
    <r>
      <rPr>
        <sz val="8"/>
        <rFont val="Arial"/>
        <family val="2"/>
      </rPr>
      <t xml:space="preserve"> Задолженность участникам по взносам в уставный капитал </t>
    </r>
  </si>
  <si>
    <r>
      <t>9.</t>
    </r>
    <r>
      <rPr>
        <sz val="8"/>
        <rFont val="Arial"/>
        <family val="2"/>
      </rPr>
      <t xml:space="preserve"> Долгосрочные обязательства </t>
    </r>
  </si>
  <si>
    <r>
      <t>10.</t>
    </r>
    <r>
      <rPr>
        <sz val="8"/>
        <rFont val="Arial"/>
        <family val="2"/>
      </rPr>
      <t xml:space="preserve"> Скорректированные краткосрочные обязательства</t>
    </r>
  </si>
  <si>
    <t>Актив</t>
  </si>
  <si>
    <t>Пассив</t>
  </si>
  <si>
    <t>начало года</t>
  </si>
  <si>
    <t>конец года</t>
  </si>
  <si>
    <t>Баланс</t>
  </si>
  <si>
    <t>Удельные веса (%)</t>
  </si>
  <si>
    <t>Платежный излишек (+) или недостаток (-)</t>
  </si>
  <si>
    <t>Унифицированный формат баланса в динамике, тыс. руб.</t>
  </si>
  <si>
    <t>Исходные данные для факторного анализа, тыс. руб.</t>
  </si>
  <si>
    <t>ИФ            ИС</t>
  </si>
  <si>
    <t xml:space="preserve">Дебетовый остаток на начало периода </t>
  </si>
  <si>
    <t>Имущество собственное</t>
  </si>
  <si>
    <t>Имущество заемное</t>
  </si>
  <si>
    <t xml:space="preserve">Дебетовый остаток на конец периода </t>
  </si>
  <si>
    <t>Прирост</t>
  </si>
  <si>
    <t>На начало периода</t>
  </si>
  <si>
    <t>На конец периода</t>
  </si>
  <si>
    <t>Приростной анализ</t>
  </si>
  <si>
    <t>Темп роста</t>
  </si>
  <si>
    <t xml:space="preserve">Кредитовый остаток на начало периода </t>
  </si>
  <si>
    <t>И</t>
  </si>
  <si>
    <t>Имущество в неденежной форме</t>
  </si>
  <si>
    <t>Имущество в денежной форме</t>
  </si>
  <si>
    <t xml:space="preserve">Кредитовый остаток на конец периода </t>
  </si>
  <si>
    <t>СК</t>
  </si>
  <si>
    <t>ЗК</t>
  </si>
  <si>
    <t>СК/И</t>
  </si>
  <si>
    <t>ЗК/И</t>
  </si>
  <si>
    <t>ЗК/СК</t>
  </si>
  <si>
    <t>2003 год</t>
  </si>
  <si>
    <t>2004 год</t>
  </si>
  <si>
    <t>Многофакторные модели, используемые при прогнозировании несостоятельности организации</t>
  </si>
  <si>
    <t xml:space="preserve">Оценка показателей </t>
  </si>
  <si>
    <t>Модели</t>
  </si>
  <si>
    <t>1 Двухфакторная Z-модель Альтмана</t>
  </si>
  <si>
    <t>2 Пятифакторная Z-модель Альтмана</t>
  </si>
  <si>
    <t>3 Четырехфакторная Z-модель Таффлера</t>
  </si>
  <si>
    <t>4 Четырехфакторная Z-модель Лиса</t>
  </si>
  <si>
    <t>№</t>
  </si>
  <si>
    <t>Общая величина пассивов</t>
  </si>
  <si>
    <t xml:space="preserve">Значение </t>
  </si>
  <si>
    <t>Сумма активов*</t>
  </si>
  <si>
    <t>Нераспределенная (реинвестированная) прибыль</t>
  </si>
  <si>
    <t>Полученные бюджетные субсидии</t>
  </si>
  <si>
    <t>Анализ основных факторов чистой прибыли за 2003 г.</t>
  </si>
  <si>
    <t>Анализ укрупненных факторов прибыли от продаж за 2003 г.</t>
  </si>
  <si>
    <t>Актив 01.01.02</t>
  </si>
  <si>
    <t>Пассив 01.01.02</t>
  </si>
  <si>
    <t>Анализ ликвидности баланса 2002 г.</t>
  </si>
  <si>
    <t>Анализ структуры реального собственного капитала (чистых активов*) за 2004 г.</t>
  </si>
  <si>
    <t>Анализ структуры скорректированных внеоборотных активов за 2002 г.</t>
  </si>
  <si>
    <t>Анализ структуры скорректированных оборотных активов за 2002 г.</t>
  </si>
  <si>
    <t>Анализ структуры запасов за 2002 г.</t>
  </si>
  <si>
    <t>Анализ структуры активов за 2002 г.</t>
  </si>
  <si>
    <t>Анализ структуры реального собственного капитала (чистых активов) за 2002 г.</t>
  </si>
  <si>
    <t>Анализ структуры заемных средств (скорректированных) за 2002 г.</t>
  </si>
  <si>
    <t>Анализ структуры пассивов за 2002 г.</t>
  </si>
  <si>
    <t>за 2003 - 2004 гг.</t>
  </si>
  <si>
    <t>за 2002-2003 гг.</t>
  </si>
  <si>
    <t>Трехфакторная модель рентабельности активов за 2002-2003 гг.</t>
  </si>
  <si>
    <t>Трехфакторная модель рентабельности активов 2002-2003 гг.</t>
  </si>
  <si>
    <t>Исходные показатели за 2003-2004 гг.</t>
  </si>
  <si>
    <t>Базисное значение - 2003 (БЗ)</t>
  </si>
  <si>
    <t>Отчетное значение -2004 (ОЗ)</t>
  </si>
  <si>
    <t>Сводный анализ показателей интенсификации и эффективности за 2002 - 2003 гг.</t>
  </si>
  <si>
    <t>Вспомогательная таблица - Показатели отдачи за 2002 - 2003 гг.</t>
  </si>
  <si>
    <t>2002 год</t>
  </si>
  <si>
    <t>Прибыль до налогообложения</t>
  </si>
  <si>
    <t>Объем продаж (выручка)</t>
  </si>
  <si>
    <t>Краткосрочные обязательства*</t>
  </si>
  <si>
    <t>Сумма обязательств*</t>
  </si>
  <si>
    <t>Прибыль от реализации</t>
  </si>
  <si>
    <t>Рыночная стоимость собственного капитала (Чистые активы)*</t>
  </si>
  <si>
    <t>*</t>
  </si>
  <si>
    <t>* среднее значение</t>
  </si>
  <si>
    <t>Собственный оборотный капитал*</t>
  </si>
  <si>
    <t>Собственный капитал*</t>
  </si>
  <si>
    <t>Себестоимость произведенной продукции</t>
  </si>
  <si>
    <t>Чистая прибыль</t>
  </si>
  <si>
    <r>
      <t>11.</t>
    </r>
    <r>
      <rPr>
        <sz val="8"/>
        <rFont val="Arial"/>
        <family val="2"/>
      </rPr>
      <t xml:space="preserve"> Коэффициент абсолютной ликвидности (п.1+п.2)/п.10</t>
    </r>
  </si>
  <si>
    <r>
      <t>1.</t>
    </r>
    <r>
      <rPr>
        <sz val="8"/>
        <rFont val="Arial"/>
        <family val="2"/>
      </rPr>
      <t xml:space="preserve"> Сальдо доходов и расходов по обычным видам деятельности (прибыль от продаж)</t>
    </r>
  </si>
  <si>
    <r>
      <t>3.</t>
    </r>
    <r>
      <rPr>
        <sz val="8"/>
        <rFont val="Arial"/>
        <family val="2"/>
      </rPr>
      <t xml:space="preserve"> Скорректированное сальдо внереализационных доходов и расходов*</t>
    </r>
  </si>
  <si>
    <r>
      <t>5.</t>
    </r>
    <r>
      <rPr>
        <sz val="8"/>
        <rFont val="Arial"/>
        <family val="2"/>
      </rPr>
      <t xml:space="preserve"> Чистая прибыль (п.1+п.2+п.3+п.4)</t>
    </r>
  </si>
  <si>
    <t>в предыдущем периоде</t>
  </si>
  <si>
    <t>Финансовые результаты различных видов деятельности предприятия</t>
  </si>
  <si>
    <t>в отчетном периоде</t>
  </si>
  <si>
    <t>Удельные веса (%) в чистой прибыли</t>
  </si>
  <si>
    <t>*Корректировка на сумму налога на прибыль и иных аналогичных платежей</t>
  </si>
  <si>
    <r>
      <t>2.</t>
    </r>
    <r>
      <rPr>
        <sz val="8"/>
        <rFont val="Arial"/>
        <family val="2"/>
      </rPr>
      <t xml:space="preserve"> Сальдо операционных доходов и расходов</t>
    </r>
  </si>
  <si>
    <r>
      <t>4.</t>
    </r>
    <r>
      <rPr>
        <sz val="8"/>
        <rFont val="Arial"/>
        <family val="2"/>
      </rPr>
      <t xml:space="preserve"> Сальдо чрезвычайных доходов и расходов</t>
    </r>
  </si>
  <si>
    <t>Укрупненные факторы прибыли от продаж</t>
  </si>
  <si>
    <t>В отчетном периоде</t>
  </si>
  <si>
    <t>В предыдущем периоде</t>
  </si>
  <si>
    <t>в % к изменению выручки от продаж</t>
  </si>
  <si>
    <r>
      <t>1.</t>
    </r>
    <r>
      <rPr>
        <sz val="8"/>
        <rFont val="Arial"/>
        <family val="2"/>
      </rPr>
      <t xml:space="preserve"> Выручка от продажи товаров, продукции, работ, услуг (без НДС, акцизов и аналогичных обязательных платежей)</t>
    </r>
  </si>
  <si>
    <r>
      <t>2.</t>
    </r>
    <r>
      <rPr>
        <sz val="8"/>
        <rFont val="Arial"/>
        <family val="2"/>
      </rPr>
      <t xml:space="preserve"> Себестоимость проданных товаров, продукции, работ, услуг</t>
    </r>
  </si>
  <si>
    <r>
      <t>3.</t>
    </r>
    <r>
      <rPr>
        <sz val="8"/>
        <rFont val="Arial"/>
        <family val="2"/>
      </rPr>
      <t xml:space="preserve"> Коммерческие расходы</t>
    </r>
  </si>
  <si>
    <r>
      <t>4.</t>
    </r>
    <r>
      <rPr>
        <sz val="8"/>
        <rFont val="Arial"/>
        <family val="2"/>
      </rPr>
      <t xml:space="preserve"> Управленческие расходы</t>
    </r>
  </si>
  <si>
    <r>
      <t>5.</t>
    </r>
    <r>
      <rPr>
        <sz val="8"/>
        <rFont val="Arial"/>
        <family val="2"/>
      </rPr>
      <t xml:space="preserve"> Прибыль от продаж (п.1-п.2-п.3-п.4)</t>
    </r>
  </si>
  <si>
    <t>в абсолют-ных вели-чинах</t>
  </si>
  <si>
    <t>Анализ оборачиваемости активов и обязательств</t>
  </si>
  <si>
    <r>
      <t>1.</t>
    </r>
    <r>
      <rPr>
        <sz val="8"/>
        <rFont val="Arial"/>
        <family val="2"/>
      </rPr>
      <t xml:space="preserve"> Выручка (нетто)</t>
    </r>
  </si>
  <si>
    <r>
      <t>5.</t>
    </r>
    <r>
      <rPr>
        <sz val="8"/>
        <rFont val="Arial"/>
        <family val="2"/>
      </rPr>
      <t xml:space="preserve"> Среднегодовые остатки запасов</t>
    </r>
  </si>
  <si>
    <r>
      <t>2.</t>
    </r>
    <r>
      <rPr>
        <sz val="8"/>
        <rFont val="Arial"/>
        <family val="2"/>
      </rPr>
      <t xml:space="preserve"> Среднегодовая сумма всех активов</t>
    </r>
  </si>
  <si>
    <r>
      <t>4.</t>
    </r>
    <r>
      <rPr>
        <sz val="8"/>
        <rFont val="Arial"/>
        <family val="2"/>
      </rPr>
      <t xml:space="preserve"> Среднегодовые остатки оборотных средств</t>
    </r>
  </si>
  <si>
    <r>
      <t>6.</t>
    </r>
    <r>
      <rPr>
        <sz val="8"/>
        <rFont val="Arial"/>
        <family val="2"/>
      </rPr>
      <t xml:space="preserve"> Среднегодовая величина дебиторской задолженности</t>
    </r>
  </si>
  <si>
    <r>
      <t>7.</t>
    </r>
    <r>
      <rPr>
        <sz val="8"/>
        <rFont val="Arial"/>
        <family val="2"/>
      </rPr>
      <t xml:space="preserve"> Среднегодовая величина денежных средств и краткосрочных финансовых вложений</t>
    </r>
  </si>
  <si>
    <r>
      <t>8.</t>
    </r>
    <r>
      <rPr>
        <sz val="8"/>
        <rFont val="Arial"/>
        <family val="2"/>
      </rPr>
      <t xml:space="preserve"> Среднегодовая величина кредиторской задолженности</t>
    </r>
  </si>
  <si>
    <r>
      <t>9.</t>
    </r>
    <r>
      <rPr>
        <sz val="8"/>
        <rFont val="Arial"/>
        <family val="2"/>
      </rPr>
      <t xml:space="preserve"> Среднегодовая величина кредитов и займов</t>
    </r>
  </si>
  <si>
    <r>
      <t>10.</t>
    </r>
    <r>
      <rPr>
        <sz val="8"/>
        <rFont val="Arial"/>
        <family val="2"/>
      </rPr>
      <t xml:space="preserve"> Среднегодовая величина скорректированных обязательств</t>
    </r>
  </si>
  <si>
    <r>
      <t>11.</t>
    </r>
    <r>
      <rPr>
        <sz val="8"/>
        <rFont val="Arial"/>
        <family val="2"/>
      </rPr>
      <t xml:space="preserve"> Оборачиваемость всех активов п.1/п.2</t>
    </r>
  </si>
  <si>
    <r>
      <t xml:space="preserve">12. </t>
    </r>
    <r>
      <rPr>
        <sz val="8"/>
        <rFont val="Arial"/>
        <family val="2"/>
      </rPr>
      <t>Средний срок оборота всех активов в днях 360/п.11</t>
    </r>
  </si>
  <si>
    <r>
      <t>14.</t>
    </r>
    <r>
      <rPr>
        <sz val="8"/>
        <rFont val="Arial"/>
        <family val="2"/>
      </rPr>
      <t xml:space="preserve"> Оборачиваемость оборотных активов п.1/п.4</t>
    </r>
  </si>
  <si>
    <r>
      <t>15.</t>
    </r>
    <r>
      <rPr>
        <sz val="8"/>
        <rFont val="Arial"/>
        <family val="2"/>
      </rPr>
      <t xml:space="preserve"> Средний срок оборота оборотных активов в днях 360/п.14</t>
    </r>
  </si>
  <si>
    <r>
      <t>17.</t>
    </r>
    <r>
      <rPr>
        <sz val="8"/>
        <rFont val="Arial"/>
        <family val="2"/>
      </rPr>
      <t xml:space="preserve"> Средний срок оборота запасов в днях 360/п.16</t>
    </r>
  </si>
  <si>
    <r>
      <t>18.</t>
    </r>
    <r>
      <rPr>
        <sz val="8"/>
        <rFont val="Arial"/>
        <family val="2"/>
      </rPr>
      <t xml:space="preserve"> Оборачиваемость дебиторской задолженности п.1/п.6</t>
    </r>
  </si>
  <si>
    <r>
      <t>19.</t>
    </r>
    <r>
      <rPr>
        <sz val="8"/>
        <rFont val="Arial"/>
        <family val="2"/>
      </rPr>
      <t xml:space="preserve"> Средний срок оборота дебиторской задолженности в днях 360/п.18</t>
    </r>
  </si>
  <si>
    <r>
      <t xml:space="preserve">20. </t>
    </r>
    <r>
      <rPr>
        <sz val="8"/>
        <rFont val="Arial"/>
        <family val="2"/>
      </rPr>
      <t>Оборачиваемость денежных средств и краткосрочных финансовых вложений п.1/п.7</t>
    </r>
  </si>
  <si>
    <r>
      <t>21.</t>
    </r>
    <r>
      <rPr>
        <sz val="8"/>
        <rFont val="Arial"/>
        <family val="2"/>
      </rPr>
      <t xml:space="preserve"> Средний срок оборота денежных средств и краткосрочных финансовых вложений в днях  360/п.20</t>
    </r>
  </si>
  <si>
    <r>
      <t>22.</t>
    </r>
    <r>
      <rPr>
        <sz val="8"/>
        <rFont val="Arial"/>
        <family val="2"/>
      </rPr>
      <t xml:space="preserve"> Коэффициент оборачиваемости кредиторской задолженности п.1/п.8</t>
    </r>
  </si>
  <si>
    <r>
      <t>23.</t>
    </r>
    <r>
      <rPr>
        <sz val="8"/>
        <rFont val="Arial"/>
        <family val="2"/>
      </rPr>
      <t xml:space="preserve"> Средний срок оборота кредиторской задолженности в днях 360/п.22</t>
    </r>
  </si>
  <si>
    <r>
      <t>24.</t>
    </r>
    <r>
      <rPr>
        <sz val="8"/>
        <rFont val="Arial"/>
        <family val="2"/>
      </rPr>
      <t xml:space="preserve"> Оборачиваемость кредитов и займов п.1/п.9</t>
    </r>
  </si>
  <si>
    <r>
      <t>25.</t>
    </r>
    <r>
      <rPr>
        <sz val="8"/>
        <rFont val="Arial"/>
        <family val="2"/>
      </rPr>
      <t xml:space="preserve">  Средний сок оборота кредитов и займов в днях  360/п.24</t>
    </r>
  </si>
  <si>
    <r>
      <t>26.</t>
    </r>
    <r>
      <rPr>
        <sz val="8"/>
        <rFont val="Arial"/>
        <family val="2"/>
      </rPr>
      <t xml:space="preserve"> Оборачиваемость скорректированных обязательств п.1/п.10</t>
    </r>
  </si>
  <si>
    <r>
      <t>27.</t>
    </r>
    <r>
      <rPr>
        <sz val="8"/>
        <rFont val="Arial"/>
        <family val="2"/>
      </rPr>
      <t xml:space="preserve"> Средний срок оборота скорректированных обязательств в днях 360/п.26</t>
    </r>
  </si>
  <si>
    <t>Темп роста, % к предыдущему году</t>
  </si>
  <si>
    <t>Анализ рентабельности</t>
  </si>
  <si>
    <r>
      <t xml:space="preserve">1. </t>
    </r>
    <r>
      <rPr>
        <sz val="8"/>
        <rFont val="Arial"/>
        <family val="2"/>
      </rPr>
      <t>Выручка (нетто)</t>
    </r>
  </si>
  <si>
    <r>
      <t>2.</t>
    </r>
    <r>
      <rPr>
        <sz val="8"/>
        <rFont val="Arial"/>
        <family val="2"/>
      </rPr>
      <t xml:space="preserve"> Прибыль от продаж</t>
    </r>
  </si>
  <si>
    <r>
      <t>3.</t>
    </r>
    <r>
      <rPr>
        <sz val="8"/>
        <rFont val="Arial"/>
        <family val="2"/>
      </rPr>
      <t xml:space="preserve"> Чистая прибыль, тыс. руб.</t>
    </r>
  </si>
  <si>
    <r>
      <t>4.</t>
    </r>
    <r>
      <rPr>
        <sz val="8"/>
        <rFont val="Arial"/>
        <family val="2"/>
      </rPr>
      <t xml:space="preserve"> Среднегодовая сумма всех активов</t>
    </r>
  </si>
  <si>
    <r>
      <t>6.</t>
    </r>
    <r>
      <rPr>
        <sz val="8"/>
        <rFont val="Arial"/>
        <family val="2"/>
      </rPr>
      <t xml:space="preserve"> Среднегодовая величина оборотных активов</t>
    </r>
  </si>
  <si>
    <r>
      <t>7.</t>
    </r>
    <r>
      <rPr>
        <sz val="8"/>
        <rFont val="Arial"/>
        <family val="2"/>
      </rPr>
      <t xml:space="preserve"> Среднегодовая сумма реального собственного капитала (чистых активов)</t>
    </r>
  </si>
  <si>
    <t>в том числе влияние амортизации (+)</t>
  </si>
  <si>
    <r>
      <t>8.</t>
    </r>
    <r>
      <rPr>
        <sz val="8"/>
        <rFont val="Arial"/>
        <family val="2"/>
      </rPr>
      <t xml:space="preserve"> Рентабельность активов по чистой прибыли п.3/п.4</t>
    </r>
  </si>
  <si>
    <r>
      <t>9.</t>
    </r>
    <r>
      <rPr>
        <sz val="8"/>
        <rFont val="Arial"/>
        <family val="2"/>
      </rPr>
      <t xml:space="preserve"> Рентабельность внеоборотных активов по чистой прибыли п.3/п.5</t>
    </r>
  </si>
  <si>
    <r>
      <t>10.</t>
    </r>
    <r>
      <rPr>
        <sz val="8"/>
        <rFont val="Arial"/>
        <family val="2"/>
      </rPr>
      <t xml:space="preserve"> Рентабельность оборотных активов по чистой прибыли п.3/п.6</t>
    </r>
  </si>
  <si>
    <r>
      <t>11.</t>
    </r>
    <r>
      <rPr>
        <sz val="8"/>
        <rFont val="Arial"/>
        <family val="2"/>
      </rPr>
      <t xml:space="preserve"> Рентабельность реального собственного капитала по чистой прибыли п.3/п.7</t>
    </r>
  </si>
  <si>
    <r>
      <t>12.</t>
    </r>
    <r>
      <rPr>
        <sz val="8"/>
        <rFont val="Arial"/>
        <family val="2"/>
      </rPr>
      <t xml:space="preserve"> Рентабельность продаж по прибыли от продаж п.2/п.1</t>
    </r>
  </si>
  <si>
    <r>
      <t>13.</t>
    </r>
    <r>
      <rPr>
        <sz val="8"/>
        <rFont val="Arial"/>
        <family val="2"/>
      </rPr>
      <t xml:space="preserve"> Рентабельность продаж по чистой прибыли п.3/п.1</t>
    </r>
  </si>
  <si>
    <t>Факторный анализ изменения рентабельности всех активов (двухфакторная модель)</t>
  </si>
  <si>
    <t>Значение показателя в отчетном периоде</t>
  </si>
  <si>
    <t>Значение показателя в преды-дущем периоде</t>
  </si>
  <si>
    <t>Изменение показателя    (гр.3-гр.2)</t>
  </si>
  <si>
    <r>
      <t>3.</t>
    </r>
    <r>
      <rPr>
        <sz val="10"/>
        <rFont val="Arial Cyr"/>
        <family val="0"/>
      </rPr>
      <t xml:space="preserve"> Оборачиваемость всех активов</t>
    </r>
  </si>
  <si>
    <r>
      <t>4.</t>
    </r>
    <r>
      <rPr>
        <sz val="10"/>
        <rFont val="Arial Cyr"/>
        <family val="0"/>
      </rPr>
      <t xml:space="preserve"> Изменение рентабельности всех активов за счет изменения рентабельности продаж</t>
    </r>
  </si>
  <si>
    <t>Итого краткосрочная задолженность</t>
  </si>
  <si>
    <t>Наиболее ликвидные активы А1 (ДС+ФВкр)</t>
  </si>
  <si>
    <t>Трудно реализуемые активы А4 (Внеоборотные активы)</t>
  </si>
  <si>
    <t>Быстрореализуемые активы А2 (Дебиторская задолженность)</t>
  </si>
  <si>
    <t>Краткосрочные пассивы П2 (Краткосрочные кредиты и займы)</t>
  </si>
  <si>
    <t>Долгосрочные пассивы П3 (Долгосрочные кредиты и займы)</t>
  </si>
  <si>
    <t>Постоянные пассивы П4 (Реальный собственный капитал)</t>
  </si>
  <si>
    <t>3.Краткосрочные кредиты и займы (в т.ч. целевые финансирования и задолженность перед учредителями) (610+450+630)</t>
  </si>
  <si>
    <t>4. Кредиторская задолженность ( в т.ч. прочие краткосрочные пассивы) (620+660)</t>
  </si>
  <si>
    <t>Наиболее срочные обязательства П1 (Кредиторская задолженность)</t>
  </si>
  <si>
    <t xml:space="preserve">в том числе                                                            запасы и затраты (в т.ч. НДС и прочие оборотные активы)    (210+220-216+270)                                  </t>
  </si>
  <si>
    <t>Медленнореализуемыеактивы А3 (Запасы и затраты)</t>
  </si>
  <si>
    <t>Виды имущества и капитала (с учетом корректировок)</t>
  </si>
  <si>
    <r>
      <t>4.1.</t>
    </r>
    <r>
      <rPr>
        <sz val="10"/>
        <rFont val="Arial Cyr"/>
        <family val="0"/>
      </rPr>
      <t xml:space="preserve"> Абсолютная величина (п.2 гр.4 х п.3 гр. 2) </t>
    </r>
  </si>
  <si>
    <r>
      <t>5.</t>
    </r>
    <r>
      <rPr>
        <sz val="10"/>
        <rFont val="Arial Cyr"/>
        <family val="0"/>
      </rPr>
      <t xml:space="preserve"> Изменение рентабельности всех активов за счет изменения оборачиваемости всех активов</t>
    </r>
  </si>
  <si>
    <r>
      <t>5.1.</t>
    </r>
    <r>
      <rPr>
        <sz val="10"/>
        <rFont val="Arial Cyr"/>
        <family val="0"/>
      </rPr>
      <t xml:space="preserve"> Абсолютная величина (п.2 гр.3 х п.3 гр. 4) </t>
    </r>
  </si>
  <si>
    <r>
      <t>4.2.</t>
    </r>
    <r>
      <rPr>
        <sz val="10"/>
        <rFont val="Arial Cyr"/>
        <family val="0"/>
      </rPr>
      <t xml:space="preserve"> В процентах к общему изменению рентабельности всех активов (п.4.1/п.1 гр. 4) х 100)</t>
    </r>
  </si>
  <si>
    <r>
      <t>5.2.</t>
    </r>
    <r>
      <rPr>
        <sz val="10"/>
        <rFont val="Arial Cyr"/>
        <family val="0"/>
      </rPr>
      <t xml:space="preserve"> В процентах к общему изменению рентабельности всех активов (п.5.1/п.1 гр. 4) х 100)</t>
    </r>
  </si>
  <si>
    <t>Другие долгосрочные обязательства</t>
  </si>
  <si>
    <t>Прочие краткосрочные обязательства и пассивы</t>
  </si>
  <si>
    <t>Удельные веса (%) в общей величине пассивов</t>
  </si>
  <si>
    <t>в % к изменению общей величины пассивов</t>
  </si>
  <si>
    <r>
      <t>6.</t>
    </r>
    <r>
      <rPr>
        <sz val="8"/>
        <rFont val="Arial"/>
        <family val="2"/>
      </rPr>
      <t xml:space="preserve"> Коэффициент соотношения заемных и собственных средств ((п. 2+п. 3)/п. 1)</t>
    </r>
  </si>
  <si>
    <r>
      <t>1.</t>
    </r>
    <r>
      <rPr>
        <sz val="10"/>
        <rFont val="Arial Cyr"/>
        <family val="0"/>
      </rPr>
      <t xml:space="preserve"> Рентабельность всех активов по чистой прибыли</t>
    </r>
  </si>
  <si>
    <r>
      <t>2.</t>
    </r>
    <r>
      <rPr>
        <sz val="10"/>
        <rFont val="Arial Cyr"/>
        <family val="0"/>
      </rPr>
      <t xml:space="preserve"> Рентабельность продаж по чистой прибыли</t>
    </r>
  </si>
  <si>
    <t>1.Рентабельность всех активов</t>
  </si>
  <si>
    <t>2.Рентабельность продаж</t>
  </si>
  <si>
    <t>3.Отдача внеоборотных активов</t>
  </si>
  <si>
    <t>4.Оборачиваемость оборотных активов</t>
  </si>
  <si>
    <r>
      <t>4.</t>
    </r>
    <r>
      <rPr>
        <sz val="8"/>
        <rFont val="Arial"/>
        <family val="2"/>
      </rPr>
      <t xml:space="preserve"> Численность персонала на конец года, чел.         (п.1+п.2-п.3)</t>
    </r>
  </si>
  <si>
    <r>
      <t>Текущие активы</t>
    </r>
    <r>
      <rPr>
        <sz val="8"/>
        <rFont val="Arial Cyr"/>
        <family val="0"/>
      </rPr>
      <t xml:space="preserve"> (Итог оборотных активов)*</t>
    </r>
  </si>
  <si>
    <r>
      <t>Заемный капитал</t>
    </r>
    <r>
      <rPr>
        <sz val="8"/>
        <rFont val="Arial Cyr"/>
        <family val="0"/>
      </rPr>
      <t xml:space="preserve"> (Сумма долгосрочных и краткосрочных обязательств)*</t>
    </r>
  </si>
  <si>
    <r>
      <t>Рыночная стоимость собственного капитала (Чистые активы)</t>
    </r>
    <r>
      <rPr>
        <sz val="8"/>
        <rFont val="Arial Cyr"/>
        <family val="0"/>
      </rPr>
      <t>*</t>
    </r>
  </si>
  <si>
    <r>
      <t xml:space="preserve">К1 </t>
    </r>
    <r>
      <rPr>
        <sz val="8"/>
        <rFont val="Arial Cyr"/>
        <family val="0"/>
      </rPr>
      <t xml:space="preserve"> (п.1 / п.2)</t>
    </r>
  </si>
  <si>
    <r>
      <t xml:space="preserve">К2 </t>
    </r>
    <r>
      <rPr>
        <sz val="8"/>
        <rFont val="Arial Cyr"/>
        <family val="0"/>
      </rPr>
      <t xml:space="preserve"> (п.4 / п.2)</t>
    </r>
  </si>
  <si>
    <r>
      <t xml:space="preserve">К3 </t>
    </r>
    <r>
      <rPr>
        <sz val="8"/>
        <rFont val="Arial Cyr"/>
        <family val="0"/>
      </rPr>
      <t xml:space="preserve"> (п.5 / п.2)</t>
    </r>
  </si>
  <si>
    <r>
      <t xml:space="preserve">К4 </t>
    </r>
    <r>
      <rPr>
        <sz val="8"/>
        <rFont val="Arial Cyr"/>
        <family val="0"/>
      </rPr>
      <t xml:space="preserve"> (п.6 / п.3)</t>
    </r>
  </si>
  <si>
    <r>
      <t xml:space="preserve">К5 </t>
    </r>
    <r>
      <rPr>
        <sz val="8"/>
        <rFont val="Arial Cyr"/>
        <family val="0"/>
      </rPr>
      <t xml:space="preserve"> (п.7 / п.2)</t>
    </r>
  </si>
  <si>
    <t>Выручка-нетто 2002 (справочно из формы 2)</t>
  </si>
  <si>
    <t>Выручка (справочно)</t>
  </si>
  <si>
    <t>Выручка-нетто 2003 (справочно из формы 2)</t>
  </si>
  <si>
    <t>Сальдо (на начало для притока, на конец для оттока)</t>
  </si>
  <si>
    <t>Движение денежных средств по инвестиционной деятельности (купля-продажа внеоборотных активов)</t>
  </si>
  <si>
    <t>Движение денежных средств по финансовой деятельности (выпуск акций, кредиты и займы)</t>
  </si>
  <si>
    <r>
      <t>5</t>
    </r>
    <r>
      <rPr>
        <sz val="8"/>
        <rFont val="Arial"/>
        <family val="2"/>
      </rPr>
      <t xml:space="preserve"> Необходимый запас матер. оборотных средств (дни)</t>
    </r>
  </si>
  <si>
    <r>
      <t xml:space="preserve">6 </t>
    </r>
    <r>
      <rPr>
        <sz val="8"/>
        <rFont val="Arial"/>
        <family val="2"/>
      </rPr>
      <t>Достаточная потребность в матер. оборотн. средствах</t>
    </r>
  </si>
  <si>
    <r>
      <t xml:space="preserve">10 </t>
    </r>
    <r>
      <rPr>
        <sz val="8"/>
        <rFont val="Arial"/>
        <family val="2"/>
      </rPr>
      <t>Достаточный уровень коэфициента текущей ликвидности</t>
    </r>
  </si>
  <si>
    <r>
      <t xml:space="preserve">7 </t>
    </r>
    <r>
      <rPr>
        <sz val="8"/>
        <rFont val="Arial"/>
        <family val="2"/>
      </rPr>
      <t>Фактический средний остаток матер. оборотн. средств</t>
    </r>
  </si>
  <si>
    <t xml:space="preserve">Поступления от займов и кредитов, предоставленных другим организациям </t>
  </si>
  <si>
    <t>Чистое увеличение (уменьшение) денежных средств и их эквивалентов</t>
  </si>
  <si>
    <t>Приток 2003</t>
  </si>
  <si>
    <t>Отток 2003</t>
  </si>
  <si>
    <t>Приток 2004</t>
  </si>
  <si>
    <t>Отток 2004</t>
  </si>
  <si>
    <t>Влияние факторов</t>
  </si>
  <si>
    <t>1. Увеличение (+), уменьшение (-) нераспределенной прибыли</t>
  </si>
  <si>
    <t>2. Увеличение (-), уменьшение (+) внеоборотных активов</t>
  </si>
  <si>
    <t>3. Увеличение (-), уменьшение (+) оборотных активов</t>
  </si>
  <si>
    <t>4. Увеличение (+), уменьшение (-) капитала за исключением нераспределенной прибыли</t>
  </si>
  <si>
    <t>5. Увеличение (+), уменьшение (-) долгосрочных обязательств</t>
  </si>
  <si>
    <t>6. Увеличение (+), уменьшение (-) краткосрочных обязательств</t>
  </si>
  <si>
    <t>Чистые активы</t>
  </si>
  <si>
    <t>Оценка значений:                                      &lt;1,81, очень высокая вероятность банкротства                                                              &gt;2,7, вероятность банкротства невелика</t>
  </si>
  <si>
    <r>
      <t xml:space="preserve">3. </t>
    </r>
    <r>
      <rPr>
        <sz val="8"/>
        <rFont val="Arial"/>
        <family val="2"/>
      </rPr>
      <t>Дебиторская задолженность</t>
    </r>
  </si>
  <si>
    <r>
      <t>4-5.</t>
    </r>
    <r>
      <rPr>
        <sz val="8"/>
        <rFont val="Arial"/>
        <family val="2"/>
      </rPr>
      <t xml:space="preserve"> НДС по приобретенным ценностям</t>
    </r>
  </si>
  <si>
    <t>Вероятность банкротства                               (Z &lt; 0,18 - высокая вероятность банкротства (60-80%) ;                                                             0,18 - 0,32 -  вероятность банкротства средняя (30-50%).                                          0,32 - 0,42 - вероятность банкротства невелика (30-50%).                                            Z &gt;0,42 - вероятность банкротства очень мала (&lt;30%))</t>
  </si>
  <si>
    <t>Оценка значений:                                      &lt;0,18,  высокая вероятность банкротства (60-80%)                                                               0,18-0,32, вероятность банкротства средняя (30-50%)                                          0,32-0,42, вероятность банкротства невелика (30-50%).                                          &gt;0,42, вероятность банкротства очень мала (&lt;30%)</t>
  </si>
  <si>
    <t>Аналитический баланс</t>
  </si>
  <si>
    <t>Движение денежных средств</t>
  </si>
  <si>
    <t>* берутся средние величины</t>
  </si>
  <si>
    <r>
      <t xml:space="preserve">К1 </t>
    </r>
    <r>
      <rPr>
        <sz val="8"/>
        <rFont val="Arial Cyr"/>
        <family val="0"/>
      </rPr>
      <t xml:space="preserve"> (п.5 / п.3)</t>
    </r>
  </si>
  <si>
    <r>
      <t xml:space="preserve">К2 </t>
    </r>
    <r>
      <rPr>
        <sz val="8"/>
        <rFont val="Arial Cyr"/>
        <family val="0"/>
      </rPr>
      <t xml:space="preserve"> (п.1 / п.4)</t>
    </r>
  </si>
  <si>
    <r>
      <t xml:space="preserve">К3 </t>
    </r>
    <r>
      <rPr>
        <sz val="8"/>
        <rFont val="Arial Cyr"/>
        <family val="0"/>
      </rPr>
      <t xml:space="preserve"> (п.3 / п.2)</t>
    </r>
  </si>
  <si>
    <r>
      <t xml:space="preserve">К4 </t>
    </r>
    <r>
      <rPr>
        <sz val="8"/>
        <rFont val="Arial Cyr"/>
        <family val="0"/>
      </rPr>
      <t xml:space="preserve"> (п.7 / п.2)</t>
    </r>
  </si>
  <si>
    <r>
      <t xml:space="preserve">К2 </t>
    </r>
    <r>
      <rPr>
        <sz val="8"/>
        <rFont val="Arial Cyr"/>
        <family val="0"/>
      </rPr>
      <t xml:space="preserve"> (п.7 / п.2)</t>
    </r>
  </si>
  <si>
    <r>
      <t xml:space="preserve">К3 </t>
    </r>
    <r>
      <rPr>
        <sz val="8"/>
        <rFont val="Arial Cyr"/>
        <family val="0"/>
      </rPr>
      <t xml:space="preserve"> (п.4 / п.2)</t>
    </r>
  </si>
  <si>
    <r>
      <t xml:space="preserve">К4 </t>
    </r>
    <r>
      <rPr>
        <sz val="8"/>
        <rFont val="Arial Cyr"/>
        <family val="0"/>
      </rPr>
      <t xml:space="preserve"> (п.5 / п.3)</t>
    </r>
  </si>
  <si>
    <r>
      <t xml:space="preserve">К1 </t>
    </r>
    <r>
      <rPr>
        <sz val="8"/>
        <rFont val="Arial Cyr"/>
        <family val="0"/>
      </rPr>
      <t xml:space="preserve"> (п.2 / п.1)</t>
    </r>
  </si>
  <si>
    <r>
      <t xml:space="preserve">К2 </t>
    </r>
    <r>
      <rPr>
        <sz val="8"/>
        <rFont val="Arial Cyr"/>
        <family val="0"/>
      </rPr>
      <t xml:space="preserve"> (п.6 / п.3)</t>
    </r>
  </si>
  <si>
    <r>
      <t xml:space="preserve">К3 </t>
    </r>
    <r>
      <rPr>
        <sz val="8"/>
        <rFont val="Arial Cyr"/>
        <family val="0"/>
      </rPr>
      <t xml:space="preserve"> (п.5 / п.1)</t>
    </r>
  </si>
  <si>
    <r>
      <t xml:space="preserve">К4 </t>
    </r>
    <r>
      <rPr>
        <sz val="8"/>
        <rFont val="Arial Cyr"/>
        <family val="0"/>
      </rPr>
      <t xml:space="preserve"> (п.6 / п.4)</t>
    </r>
  </si>
  <si>
    <t>1.Изменение рентабельности всех активов за счет изменения рентабельности продаж</t>
  </si>
  <si>
    <t>2.Изменение рентабельности всех активов за счет изменения отдачи внеоборотных активов</t>
  </si>
  <si>
    <t>3.Изменение рентабельности всех активов за счет изменения оборачиваемости оборотных активов</t>
  </si>
  <si>
    <t>4.Общее изменение рентабельности всех активов</t>
  </si>
  <si>
    <t>Абсол. величина</t>
  </si>
  <si>
    <t>3. Материальные затраты</t>
  </si>
  <si>
    <t>4. Амортизация</t>
  </si>
  <si>
    <t>2. Материалоемкость</t>
  </si>
  <si>
    <t>3. Амортизациеемкость</t>
  </si>
  <si>
    <t>4. Фондоемкость</t>
  </si>
  <si>
    <t>5. Коэффициент закрепления оборотных средств</t>
  </si>
  <si>
    <t>Абсолютн. величина</t>
  </si>
  <si>
    <t>В % к общему изменению рентабельности активов</t>
  </si>
  <si>
    <t>2. Изменение рентабельности активов за счет изменения материалоемкости</t>
  </si>
  <si>
    <t>3. Изменение рентабельности активов за счет изменения амортизациеемкости</t>
  </si>
  <si>
    <t>4. Изменение рентабельности активов за счет изменения фондоемкости</t>
  </si>
  <si>
    <t>5. Изменение рентабельности активов за счет изменения оборачиваемости оборотных активов</t>
  </si>
  <si>
    <t xml:space="preserve">6. Общее изменение рентабельности активов </t>
  </si>
  <si>
    <t>Коэффициент рентабельности активов</t>
  </si>
  <si>
    <t>1. Трудоемкость</t>
  </si>
  <si>
    <t>Фондоемкость</t>
  </si>
  <si>
    <t>ПЗ1-БЗ</t>
  </si>
  <si>
    <t>ПЗ2-ПЗ1</t>
  </si>
  <si>
    <t>ПЗ3-ПЗ2</t>
  </si>
  <si>
    <t>ПЗ4 - ПЗ3</t>
  </si>
  <si>
    <t>1. Изменение рентабельности активов за счет изменения трудоемкости</t>
  </si>
  <si>
    <t>Материало-емкость</t>
  </si>
  <si>
    <t>Коэффициент закрепления</t>
  </si>
  <si>
    <t>Амортизацие-емкость</t>
  </si>
  <si>
    <t>ОЗ-ПЗ4</t>
  </si>
  <si>
    <t>Промежуточное значение 1 (ПЗ1)</t>
  </si>
  <si>
    <t>Промежуточное значение 2 (ПЗ2)</t>
  </si>
  <si>
    <t>Промежуточное значение 3 (ПЗ3)</t>
  </si>
  <si>
    <t>Промежуточное значение 4 (ПЗ4)</t>
  </si>
  <si>
    <t>Метод цепных подстановок</t>
  </si>
  <si>
    <t>5. Средние внеоборотные активы</t>
  </si>
  <si>
    <t>6. Средние оборотные активы</t>
  </si>
  <si>
    <t>1. Выручка от продажи продукции</t>
  </si>
  <si>
    <t>2. Оплата труда с начислениями</t>
  </si>
  <si>
    <t>Показатели интенсивности использования ресурсов</t>
  </si>
  <si>
    <t>Формула расчета</t>
  </si>
  <si>
    <t>Пятифакторная модель рентабельности активов</t>
  </si>
  <si>
    <t>ОЗ-БЗ</t>
  </si>
  <si>
    <t>Изменение к предыдущему году</t>
  </si>
  <si>
    <t>В % к общему изменению рентабельности всех активов</t>
  </si>
  <si>
    <t>Абсолютная величина</t>
  </si>
  <si>
    <t>Нематериальные активы (04, 05)</t>
  </si>
  <si>
    <t>Доходные вложения в материальные ценности (03)</t>
  </si>
  <si>
    <t>Чистая прибыль (нераспределенная прибыль (убыток) отчетного периода) ( строки 160+170-180)</t>
  </si>
  <si>
    <t>010</t>
  </si>
  <si>
    <t>011</t>
  </si>
  <si>
    <t>012</t>
  </si>
  <si>
    <t>020</t>
  </si>
  <si>
    <t>021</t>
  </si>
  <si>
    <t>022</t>
  </si>
  <si>
    <t>029</t>
  </si>
  <si>
    <t>030</t>
  </si>
  <si>
    <t>040</t>
  </si>
  <si>
    <t>050</t>
  </si>
  <si>
    <t>060</t>
  </si>
  <si>
    <t>070</t>
  </si>
  <si>
    <t>080</t>
  </si>
  <si>
    <t>090</t>
  </si>
  <si>
    <t>БАЛАНС, Форма №1</t>
  </si>
  <si>
    <t>ОТЧЕТ О ПРИБЫЛЯХ И УБЫТКАХ ,Форма №2</t>
  </si>
  <si>
    <t>Статья баланса</t>
  </si>
  <si>
    <t>Виды ресурсов</t>
  </si>
  <si>
    <t>Доля влияния на 100% прироста продукции</t>
  </si>
  <si>
    <t>2. Материальные затраты</t>
  </si>
  <si>
    <t>1. Оплата труда с начислениями</t>
  </si>
  <si>
    <t>3. Амортизация</t>
  </si>
  <si>
    <t>4. Средние внеоборотные активы</t>
  </si>
  <si>
    <t>5. Средние оборотные активы</t>
  </si>
  <si>
    <t>6. Комплексная оценка всесторонней интенсификации</t>
  </si>
  <si>
    <t>Оборачиваемость оборотных средств</t>
  </si>
  <si>
    <t>Коэффициент роста</t>
  </si>
  <si>
    <t>Код стр.</t>
  </si>
  <si>
    <t>отч.период</t>
  </si>
  <si>
    <t>Выручка от реализации продукции</t>
  </si>
  <si>
    <t>Себестоимость реализованных товаров</t>
  </si>
  <si>
    <t>Прибыль (убыток) от реализации</t>
  </si>
  <si>
    <t>Проценты к получению</t>
  </si>
  <si>
    <t>Доходы от участия в др. организациях</t>
  </si>
  <si>
    <t>Прочие внереализационные доходы</t>
  </si>
  <si>
    <t>Отвлеченные средства</t>
  </si>
  <si>
    <t>Нераспредл. прибыль (убыток) отчетного периода</t>
  </si>
  <si>
    <t>Прибыль (убыток) от фин.-хоз. деятельности</t>
  </si>
  <si>
    <t>Чистая прибыль (убыток) отчетного периода</t>
  </si>
  <si>
    <t>Отдача совокупного ресурса</t>
  </si>
  <si>
    <t>Темп прироста</t>
  </si>
  <si>
    <t>Выручка от продажи продукции</t>
  </si>
  <si>
    <t>Материальные затраты</t>
  </si>
  <si>
    <t>Затраты на оплату труда</t>
  </si>
  <si>
    <t>Отчисления на социальные нужды</t>
  </si>
  <si>
    <t>Амортизация</t>
  </si>
  <si>
    <t>Прочие затраты</t>
  </si>
  <si>
    <t>Итого по элементам затрат</t>
  </si>
  <si>
    <t>Прирост ресурсов на 1% прироста продукции (выручки), %</t>
  </si>
  <si>
    <t>экстенсив-ности, %</t>
  </si>
  <si>
    <t>интенсив-ности, %</t>
  </si>
  <si>
    <t>* Чистые активы рассчитываются по методике, утвержденной Приказом Минфина № 10н от 29.01.2003 г.</t>
  </si>
  <si>
    <t>Итого реальный собственный капитал (чистые активы)</t>
  </si>
  <si>
    <t>Итого реальный собственный капитал (чистыте активы)</t>
  </si>
  <si>
    <r>
      <t>4.</t>
    </r>
    <r>
      <rPr>
        <sz val="8"/>
        <rFont val="Arial"/>
        <family val="2"/>
      </rPr>
      <t xml:space="preserve"> Наличие собственных оборотных средств п.1-п.2</t>
    </r>
  </si>
  <si>
    <r>
      <t>5.</t>
    </r>
    <r>
      <rPr>
        <sz val="8"/>
        <rFont val="Arial"/>
        <family val="2"/>
      </rPr>
      <t xml:space="preserve"> Долгосрочные пассивы</t>
    </r>
  </si>
  <si>
    <r>
      <t>6.</t>
    </r>
    <r>
      <rPr>
        <sz val="8"/>
        <rFont val="Arial"/>
        <family val="2"/>
      </rPr>
      <t xml:space="preserve"> Наличие долгосрочных источников формирования запасов (п.4+п.5)</t>
    </r>
  </si>
  <si>
    <r>
      <t xml:space="preserve">7. </t>
    </r>
    <r>
      <rPr>
        <sz val="8"/>
        <rFont val="Arial"/>
        <family val="2"/>
      </rPr>
      <t>Краткосрочные кредиты и заемные средства</t>
    </r>
  </si>
  <si>
    <r>
      <t>8.</t>
    </r>
    <r>
      <rPr>
        <sz val="8"/>
        <rFont val="Arial"/>
        <family val="2"/>
      </rPr>
      <t xml:space="preserve"> Общая величина основных источников формирования запасов п.6+п.7</t>
    </r>
  </si>
  <si>
    <t xml:space="preserve">1 Двухфакторная Z-модель Альтмана         </t>
  </si>
  <si>
    <t>Вероятность банкротства (отриц. - невелика)</t>
  </si>
  <si>
    <t>Значение</t>
  </si>
  <si>
    <r>
      <t>9.</t>
    </r>
    <r>
      <rPr>
        <sz val="8"/>
        <rFont val="Arial"/>
        <family val="2"/>
      </rPr>
      <t xml:space="preserve"> Общая величина запасов (включая несписанный НДС)</t>
    </r>
  </si>
  <si>
    <r>
      <t xml:space="preserve">10. </t>
    </r>
    <r>
      <rPr>
        <sz val="8"/>
        <rFont val="Arial"/>
        <family val="2"/>
      </rPr>
      <t>Излишек (+) или недостаток (-) собственных оборотных средств (п.3-п.9)</t>
    </r>
  </si>
  <si>
    <t xml:space="preserve">Наименование показателя     </t>
  </si>
  <si>
    <t xml:space="preserve">I Активы  </t>
  </si>
  <si>
    <t xml:space="preserve">1. Нематериальные активы       </t>
  </si>
  <si>
    <t xml:space="preserve">2. Основные средства           </t>
  </si>
  <si>
    <t>3. Незавершенное строительство</t>
  </si>
  <si>
    <t>4. Доходные вложения в материальные ценности</t>
  </si>
  <si>
    <t>5. Долгосрочные и краткосрочные финансовые вложения</t>
  </si>
  <si>
    <t>6. Прочие внеоборотные   активы</t>
  </si>
  <si>
    <t>7. Запасы</t>
  </si>
  <si>
    <t>8. Налог на добавленную стоимость</t>
  </si>
  <si>
    <t>9. Дебиторская задолженность</t>
  </si>
  <si>
    <t>10. Денежные средства</t>
  </si>
  <si>
    <t xml:space="preserve">11. Прочие оборотные активы     </t>
  </si>
  <si>
    <t>12. Итого активы, принимаемые к расчету (сумма данных пунктов 1-11)</t>
  </si>
  <si>
    <t xml:space="preserve">II. Пассивы                     </t>
  </si>
  <si>
    <t>13. Долгосрочные обязательства по займам и кредитам</t>
  </si>
  <si>
    <t>14. Прочие долгосрочные обязательства</t>
  </si>
  <si>
    <t>15. Краткосрочные обязательства по займам и кредитам</t>
  </si>
  <si>
    <t xml:space="preserve">16. Кредиторская задолженность  </t>
  </si>
  <si>
    <t>17. Задолженность участникам (учредителям) по выплате доходов</t>
  </si>
  <si>
    <t>18. Резервы предстоящих расходов</t>
  </si>
  <si>
    <t>19. Прочие краткосрочные обязательства</t>
  </si>
  <si>
    <t>20. Итого пассивы, принимаемые к расчету (сумма данных пунктов 13-19)</t>
  </si>
  <si>
    <t>21. Стоимость чистых активов акционерного общества (итого активы, принимаемые к расчету (п.12), минус итого пассивы, принимаемые к расчету (п.20))</t>
  </si>
  <si>
    <r>
      <t>11.</t>
    </r>
    <r>
      <rPr>
        <sz val="8"/>
        <rFont val="Arial"/>
        <family val="2"/>
      </rPr>
      <t xml:space="preserve"> Излишек (+) или недостаток (-) долгосрочных источников формирования запасов (п.6-п.9)</t>
    </r>
  </si>
  <si>
    <r>
      <t>12.</t>
    </r>
    <r>
      <rPr>
        <sz val="8"/>
        <rFont val="Arial"/>
        <family val="2"/>
      </rPr>
      <t xml:space="preserve"> Излишек (+) или недостаток (-) основных источников формирования запасов (п.8-п.9)</t>
    </r>
  </si>
  <si>
    <r>
      <t xml:space="preserve">13. </t>
    </r>
    <r>
      <rPr>
        <sz val="8"/>
        <rFont val="Arial"/>
        <family val="2"/>
      </rPr>
      <t>Характеристика финансовой ситуации</t>
    </r>
  </si>
  <si>
    <r>
      <t>14.</t>
    </r>
    <r>
      <rPr>
        <sz val="8"/>
        <rFont val="Arial"/>
        <family val="2"/>
      </rPr>
      <t xml:space="preserve"> Коэффициент маневренности (п.4/п.1)</t>
    </r>
  </si>
  <si>
    <r>
      <t xml:space="preserve">15. </t>
    </r>
    <r>
      <rPr>
        <sz val="8"/>
        <rFont val="Arial"/>
        <family val="2"/>
      </rPr>
      <t xml:space="preserve">Коэффициент автономии источников формирования запасов (п.4/п.9) </t>
    </r>
  </si>
  <si>
    <r>
      <t>16.</t>
    </r>
    <r>
      <rPr>
        <sz val="8"/>
        <rFont val="Arial Cyr"/>
        <family val="0"/>
      </rPr>
      <t xml:space="preserve"> Коэффициент обеспеченности собственными оборотными средствами (п.4/п.3)</t>
    </r>
  </si>
  <si>
    <t>Актив 01.01.03</t>
  </si>
  <si>
    <t>Пассив 01.01.03</t>
  </si>
  <si>
    <t>Анализ структуры скорректированных внеоборотных активов за 2003 г.</t>
  </si>
  <si>
    <t>Анализ структуры скорректированных оборотных активов за 2003 г.</t>
  </si>
  <si>
    <t>Анализ структуры запасов за 2003 г.</t>
  </si>
  <si>
    <t>Анализ структуры активов за 2003 г.</t>
  </si>
  <si>
    <t>Анализ структуры заемных средств (скорректированных) за 2003 г.</t>
  </si>
  <si>
    <t>Анализ структуры пассивов за 2003 г.</t>
  </si>
  <si>
    <t>Анализ ликвидности баланса 2003 г.</t>
  </si>
  <si>
    <t>Итого</t>
  </si>
  <si>
    <t>Группа 1</t>
  </si>
  <si>
    <t>Группа 2</t>
  </si>
  <si>
    <t>Группа 3</t>
  </si>
  <si>
    <t>Группа 4</t>
  </si>
  <si>
    <t>Отложенные налоговые обязательства</t>
  </si>
  <si>
    <t>141</t>
  </si>
  <si>
    <t>142</t>
  </si>
  <si>
    <t>Справочно - постоянные налоговые обязательства (активы)</t>
  </si>
  <si>
    <t>Актив 01.01.04</t>
  </si>
  <si>
    <t>Пассив 01.01.04</t>
  </si>
  <si>
    <t>Отложенные налоговые активы</t>
  </si>
  <si>
    <t>Прочие долгосрочные пассивы</t>
  </si>
  <si>
    <r>
      <t>28.</t>
    </r>
    <r>
      <rPr>
        <sz val="8"/>
        <rFont val="Arial"/>
        <family val="2"/>
      </rPr>
      <t xml:space="preserve"> Операционный цикл* в днях п.17+п.19</t>
    </r>
  </si>
  <si>
    <t>* Характеризует общее время, в течение которого финансовые ресурсы находятся в материальных средствах и дебиторской задолженности</t>
  </si>
  <si>
    <r>
      <t>29.</t>
    </r>
    <r>
      <rPr>
        <sz val="8"/>
        <rFont val="Arial"/>
        <family val="2"/>
      </rPr>
      <t xml:space="preserve"> Финансовый цикл** в днях п.28-п.23</t>
    </r>
  </si>
  <si>
    <t>в том числе                                                      нематериальные активы (110)</t>
  </si>
  <si>
    <t>основные средства (120+135)</t>
  </si>
  <si>
    <t>** Характеризует время, в течение которого финансовые ресурсы отвлечены из оборота</t>
  </si>
  <si>
    <r>
      <t>15</t>
    </r>
    <r>
      <rPr>
        <sz val="8"/>
        <rFont val="Arial"/>
        <family val="2"/>
      </rPr>
      <t>. Коэффициент восстановления платежеспособности за 6 месяцев</t>
    </r>
  </si>
  <si>
    <r>
      <t>12.</t>
    </r>
    <r>
      <rPr>
        <sz val="8"/>
        <rFont val="Arial"/>
        <family val="2"/>
      </rPr>
      <t xml:space="preserve"> Коэффициент критической (срочной, быстрой, текущей) ликвидности (п.1+п.2+п.3)/п.10</t>
    </r>
  </si>
  <si>
    <t>Средняя численность работников</t>
  </si>
  <si>
    <r>
      <t xml:space="preserve">30. </t>
    </r>
    <r>
      <rPr>
        <sz val="8"/>
        <rFont val="Arial"/>
        <family val="2"/>
      </rPr>
      <t>Средняя численность</t>
    </r>
  </si>
  <si>
    <t>1. Нераспределенная прибыль</t>
  </si>
  <si>
    <t>2. Внеоборотные активы</t>
  </si>
  <si>
    <t>3. Оборотные активы</t>
  </si>
  <si>
    <t>4. Капиталы и резервы</t>
  </si>
  <si>
    <t>5. Долгосрочные обязательства</t>
  </si>
  <si>
    <t>6. Краткосрочные обязательства</t>
  </si>
  <si>
    <t>Расчет</t>
  </si>
  <si>
    <t xml:space="preserve">форма №2 </t>
  </si>
  <si>
    <t>форма № 2</t>
  </si>
  <si>
    <t>форма № 5</t>
  </si>
  <si>
    <t>п .2.1/п. 3</t>
  </si>
  <si>
    <t>п. 4 * п. 5</t>
  </si>
  <si>
    <t xml:space="preserve"> форма №1</t>
  </si>
  <si>
    <t>форма № 1</t>
  </si>
  <si>
    <t>(п.6+п.8+п.9)/п.9</t>
  </si>
  <si>
    <r>
      <t xml:space="preserve">31. </t>
    </r>
    <r>
      <rPr>
        <sz val="8"/>
        <rFont val="Arial"/>
        <family val="2"/>
      </rPr>
      <t>Производительность труда п.1/п.30</t>
    </r>
  </si>
  <si>
    <t>Данные из формы №5</t>
  </si>
  <si>
    <t>животные на выращивании и откорме (11)</t>
  </si>
  <si>
    <r>
      <t xml:space="preserve">1. </t>
    </r>
    <r>
      <rPr>
        <sz val="8"/>
        <rFont val="Arial"/>
        <family val="2"/>
      </rPr>
      <t>Себестоимость продаж (сокращенная)</t>
    </r>
  </si>
  <si>
    <r>
      <t>2.</t>
    </r>
    <r>
      <rPr>
        <sz val="8"/>
        <rFont val="Arial"/>
        <family val="2"/>
      </rPr>
      <t xml:space="preserve"> Готовая продукция и товары (среднегод.)</t>
    </r>
  </si>
  <si>
    <r>
      <t xml:space="preserve">3. </t>
    </r>
    <r>
      <rPr>
        <sz val="8"/>
        <rFont val="Arial"/>
        <family val="2"/>
      </rPr>
      <t>Материальные запасы (среднегод.)</t>
    </r>
  </si>
  <si>
    <r>
      <t>6.</t>
    </r>
    <r>
      <rPr>
        <sz val="8"/>
        <rFont val="Arial"/>
        <family val="2"/>
      </rPr>
      <t xml:space="preserve"> Срок оборота готовой продукции и товаров в днях 360/п.4</t>
    </r>
  </si>
  <si>
    <r>
      <t>4.</t>
    </r>
    <r>
      <rPr>
        <sz val="8"/>
        <rFont val="Arial"/>
        <family val="2"/>
      </rPr>
      <t xml:space="preserve"> Оборачиваемость готовой продукции и товаров по сокращенной себестоимости п.1/п.2</t>
    </r>
  </si>
  <si>
    <r>
      <t>5.</t>
    </r>
    <r>
      <rPr>
        <sz val="8"/>
        <rFont val="Arial"/>
        <family val="2"/>
      </rPr>
      <t xml:space="preserve"> Оборачиваемость материальных запасов п.1/п.3</t>
    </r>
  </si>
  <si>
    <r>
      <t>4.</t>
    </r>
    <r>
      <rPr>
        <sz val="8"/>
        <rFont val="Arial"/>
        <family val="2"/>
      </rPr>
      <t xml:space="preserve"> Срок оборота материальных запасов в днях 360/п.5</t>
    </r>
  </si>
  <si>
    <r>
      <t>16.</t>
    </r>
    <r>
      <rPr>
        <sz val="8"/>
        <rFont val="Arial"/>
        <family val="2"/>
      </rPr>
      <t xml:space="preserve"> Коэффициент утраты платежеспособности за 6 месяцев</t>
    </r>
  </si>
  <si>
    <r>
      <t>16.</t>
    </r>
    <r>
      <rPr>
        <sz val="8"/>
        <rFont val="Arial"/>
        <family val="2"/>
      </rPr>
      <t xml:space="preserve"> Оборачиваемость запасов (по выручке) п.1/п.5</t>
    </r>
  </si>
  <si>
    <r>
      <t xml:space="preserve">5. </t>
    </r>
    <r>
      <rPr>
        <sz val="8"/>
        <rFont val="Arial"/>
        <family val="2"/>
      </rPr>
      <t>Среднегодовая величина ОС и НМА (по остаточной стоимости)</t>
    </r>
  </si>
  <si>
    <r>
      <t xml:space="preserve">Собственные акции, выкупленные у акционеров  </t>
    </r>
    <r>
      <rPr>
        <b/>
        <sz val="9"/>
        <color indexed="23"/>
        <rFont val="Arial"/>
        <family val="2"/>
      </rPr>
      <t>должен быть "минус"</t>
    </r>
  </si>
  <si>
    <r>
      <t xml:space="preserve">Непокрытый убыток прошлых лет (84)   </t>
    </r>
    <r>
      <rPr>
        <b/>
        <sz val="9"/>
        <color indexed="55"/>
        <rFont val="Arial"/>
        <family val="2"/>
      </rPr>
      <t xml:space="preserve"> должен быть "минус"</t>
    </r>
  </si>
  <si>
    <r>
      <t xml:space="preserve">Покрытый убыток отчетного года (84)    </t>
    </r>
    <r>
      <rPr>
        <b/>
        <sz val="9"/>
        <color indexed="55"/>
        <rFont val="Arial"/>
        <family val="2"/>
      </rPr>
      <t>должен быть "минус"</t>
    </r>
  </si>
  <si>
    <r>
      <t xml:space="preserve">II Операционные доходы и расходы         </t>
    </r>
    <r>
      <rPr>
        <sz val="9"/>
        <rFont val="Arial"/>
        <family val="2"/>
      </rPr>
      <t xml:space="preserve">                                                      </t>
    </r>
    <r>
      <rPr>
        <i/>
        <sz val="9"/>
        <rFont val="Arial"/>
        <family val="2"/>
      </rPr>
      <t xml:space="preserve"> Проценты к получению</t>
    </r>
  </si>
  <si>
    <r>
      <t xml:space="preserve">III Внереализационные доходы и расходы  </t>
    </r>
    <r>
      <rPr>
        <sz val="9"/>
        <rFont val="Arial"/>
        <family val="2"/>
      </rPr>
      <t xml:space="preserve">                                                         </t>
    </r>
    <r>
      <rPr>
        <i/>
        <sz val="9"/>
        <rFont val="Arial"/>
        <family val="2"/>
      </rPr>
      <t>Прочие внереализационные доходы</t>
    </r>
  </si>
  <si>
    <r>
      <t xml:space="preserve">IV. Чрезвычайные доходы и расходы                                                         </t>
    </r>
    <r>
      <rPr>
        <sz val="9"/>
        <rFont val="Arial"/>
        <family val="2"/>
      </rPr>
      <t>Ч</t>
    </r>
    <r>
      <rPr>
        <i/>
        <sz val="9"/>
        <rFont val="Arial"/>
        <family val="2"/>
      </rPr>
      <t>резвычайные доходы</t>
    </r>
  </si>
  <si>
    <t>ОТЧЕТ О ДВИЖЕНИИ ДЕНЕЖНЫХ СРЕДСТВ, Форма №4</t>
  </si>
  <si>
    <t>наименование</t>
  </si>
  <si>
    <t>код</t>
  </si>
  <si>
    <t>Остаток денежных средств на начало отчетного года</t>
  </si>
  <si>
    <t>Движение денежных средств по текущей деятельности</t>
  </si>
  <si>
    <t>Средства, полученные от покупателей, заказчиков</t>
  </si>
  <si>
    <t>Прочие доходы</t>
  </si>
  <si>
    <t>Денежные средства, направленные:</t>
  </si>
  <si>
    <t xml:space="preserve"> </t>
  </si>
  <si>
    <t xml:space="preserve">          на оплату приобретенных товаров, работ, услуг, сырья</t>
  </si>
  <si>
    <t xml:space="preserve">          и иных оборотных активов</t>
  </si>
  <si>
    <t xml:space="preserve">          на оплату труда</t>
  </si>
  <si>
    <t>незавершенное строительство (130)</t>
  </si>
  <si>
    <t>дебиторская задолженность (240-244)</t>
  </si>
  <si>
    <t>краткосроч. финансовые вложения (250)</t>
  </si>
  <si>
    <t>денежные средства (260)</t>
  </si>
  <si>
    <t>долгосрочные финансовые вложения (140+145+150)</t>
  </si>
  <si>
    <t>долгосроч. дебиторская задолженность (230)</t>
  </si>
  <si>
    <t>1. Реальный собственный капитал (490-216-244-450+640+650)</t>
  </si>
  <si>
    <t>2. Долгосрочные кредиты и займы (в том числе отложенные налоговые обязательства, прочие долгосрочные обязательства) (510+515+520)</t>
  </si>
  <si>
    <t xml:space="preserve">          на выплату дивидендов, процентов</t>
  </si>
  <si>
    <t xml:space="preserve">          на расчёты по налогам и сборам</t>
  </si>
  <si>
    <t xml:space="preserve">          на расчёты с внебюджетными фондами</t>
  </si>
  <si>
    <t xml:space="preserve">          на выплату авансов</t>
  </si>
  <si>
    <t xml:space="preserve">          на прочие расходы</t>
  </si>
  <si>
    <t>Чистые денежные средства от текущей деятельности</t>
  </si>
  <si>
    <t>Движение денежных средств по инвестиционной</t>
  </si>
  <si>
    <t>деятельности</t>
  </si>
  <si>
    <t>Выручка от продажи объектов основных средств и иных</t>
  </si>
  <si>
    <t>внеоборотных активов</t>
  </si>
  <si>
    <t>Выручка от продажи ценных бумаг и иных финансовых</t>
  </si>
  <si>
    <t>вложений</t>
  </si>
  <si>
    <t>Полученные дивиденды</t>
  </si>
  <si>
    <t>Полученные проценты</t>
  </si>
  <si>
    <t>Поступления от погашения займов, предоставленных</t>
  </si>
  <si>
    <t>другим организациям</t>
  </si>
  <si>
    <t>Приобретение объектов основных средств, доходных</t>
  </si>
  <si>
    <t>вложений в материальные ценности и нематериальных</t>
  </si>
  <si>
    <t>активов</t>
  </si>
  <si>
    <t>Приобретение ценных бумаг и иных финансовых вложений</t>
  </si>
  <si>
    <t>Займы, предоставленные другим организациям</t>
  </si>
  <si>
    <t xml:space="preserve">Чистые денежные средства от инвестиционной </t>
  </si>
  <si>
    <t xml:space="preserve">Движение денежных средств по финансовой </t>
  </si>
  <si>
    <t>Поступления от эмиссии акций или иных долевых бумаг</t>
  </si>
  <si>
    <t>Прочие выплаты</t>
  </si>
  <si>
    <t>Чистые денежные средства от финансовой деятельности</t>
  </si>
  <si>
    <t>Остаток денежных средств на конец отчетного периода</t>
  </si>
  <si>
    <t>Величина влияния изменений курса иностранной валюты</t>
  </si>
  <si>
    <t>Показатели движения денежных средств (прямой метод)</t>
  </si>
  <si>
    <t>Сумма денежных средств, тыс.руб.</t>
  </si>
  <si>
    <t>Индекс динамики за период, %</t>
  </si>
  <si>
    <t>Удельный вес, %</t>
  </si>
  <si>
    <t>изменение за период</t>
  </si>
  <si>
    <t>1.Остаток денежных средств</t>
  </si>
  <si>
    <t xml:space="preserve">2. Поступление денежных </t>
  </si>
  <si>
    <t>средств - всего</t>
  </si>
  <si>
    <t>в том числе по видам деятельности:</t>
  </si>
  <si>
    <t xml:space="preserve">  - текущей</t>
  </si>
  <si>
    <t xml:space="preserve">  - инвестиционной</t>
  </si>
  <si>
    <t xml:space="preserve">  - финансовой</t>
  </si>
  <si>
    <t>3. Расходование денежных</t>
  </si>
  <si>
    <t>Увеличение (-), уменьшение (+) нематериальных активов (остат.стоимость)</t>
  </si>
  <si>
    <t>Увеличение (-), уменьшение (+) основных средств (остат.стоимость)</t>
  </si>
  <si>
    <t>Увеличение (-), уменьшение (+) незавершенного строительства</t>
  </si>
  <si>
    <t>Увеличение (-), уменьшение (+) других активов</t>
  </si>
  <si>
    <t>Увеличение (-), уменьшение (+) запасов</t>
  </si>
  <si>
    <t>Увеличение (-), уменьшение (+) НДС</t>
  </si>
  <si>
    <t>Общее изменение денежных средств</t>
  </si>
  <si>
    <t>Увеличение (-), уменьшение (+) дебиторской задолженности</t>
  </si>
  <si>
    <t>Увеличение (-), уменьшение (+) краткосрочных финансовых вложений</t>
  </si>
  <si>
    <t>Увеличение (+), уменьшение (-) уставного капитала</t>
  </si>
  <si>
    <t>Увеличение (+), уменьшение (-) резервного капитала</t>
  </si>
  <si>
    <t>Увеличение (+), уменьшение (-) добавочного капитала</t>
  </si>
  <si>
    <t>Увеличение (+), уменьшение (-) других статей</t>
  </si>
  <si>
    <t>Увеличение (+), уменьшение (-) кредитов и займов</t>
  </si>
  <si>
    <t>Увеличение (+), уменьшение (-) прочих обязательств</t>
  </si>
  <si>
    <t>Увеличение (+), уменьшение (-) кредиторской задолженности</t>
  </si>
  <si>
    <t>поставщики и подрядчики</t>
  </si>
  <si>
    <t>векселя к уплате</t>
  </si>
  <si>
    <t>задолженность перед дочерними и зависимыми обществами</t>
  </si>
  <si>
    <t>задолженность перед персоналом организации</t>
  </si>
  <si>
    <t>задолженность перед государственными внебюджетными фондами</t>
  </si>
  <si>
    <t>задолженность перед бюджетом</t>
  </si>
  <si>
    <t>авансы полученные</t>
  </si>
  <si>
    <t>Изменение денежных средств</t>
  </si>
  <si>
    <t>4. Остаток денежных средств</t>
  </si>
  <si>
    <t>5. Чистый денежный поток:</t>
  </si>
  <si>
    <t xml:space="preserve">  - по текущей деятельности</t>
  </si>
  <si>
    <t>Расход денежных средств по текущей деятельности</t>
  </si>
  <si>
    <r>
      <t>7.</t>
    </r>
    <r>
      <rPr>
        <sz val="9"/>
        <rFont val="Arial Cyr"/>
        <family val="2"/>
      </rPr>
      <t xml:space="preserve"> Прочие расходы</t>
    </r>
  </si>
  <si>
    <t>Индф</t>
  </si>
  <si>
    <t>Идф</t>
  </si>
  <si>
    <t>СК/Идф</t>
  </si>
  <si>
    <t>Идф/ЗК</t>
  </si>
  <si>
    <t>СК/Индф</t>
  </si>
  <si>
    <t>Индф/И</t>
  </si>
  <si>
    <t>Идф/Индф</t>
  </si>
  <si>
    <r>
      <t>1.</t>
    </r>
    <r>
      <rPr>
        <sz val="9"/>
        <rFont val="Arial Cyr"/>
        <family val="2"/>
      </rPr>
      <t xml:space="preserve"> Оплата приобретенных товаров, работ, услуг, сырья и иных оборотных активов</t>
    </r>
  </si>
  <si>
    <r>
      <t>2.</t>
    </r>
    <r>
      <rPr>
        <sz val="9"/>
        <rFont val="Arial Cyr"/>
        <family val="2"/>
      </rPr>
      <t xml:space="preserve"> Оплата труда</t>
    </r>
  </si>
  <si>
    <t>Активы предприятия</t>
  </si>
  <si>
    <t>1. Внеоборотные активы - всего</t>
  </si>
  <si>
    <t>2. Оборотные активы - всего</t>
  </si>
  <si>
    <t>ИТОГО имущество</t>
  </si>
  <si>
    <t>Пассивы предприятия</t>
  </si>
  <si>
    <t>Всего заемный капитал</t>
  </si>
  <si>
    <t>ИТОГО капитал</t>
  </si>
  <si>
    <r>
      <t>3.</t>
    </r>
    <r>
      <rPr>
        <sz val="9"/>
        <rFont val="Arial Cyr"/>
        <family val="2"/>
      </rPr>
      <t xml:space="preserve"> Выплата дивидендов, процентов</t>
    </r>
  </si>
  <si>
    <r>
      <t>4.</t>
    </r>
    <r>
      <rPr>
        <sz val="9"/>
        <rFont val="Arial Cyr"/>
        <family val="2"/>
      </rPr>
      <t xml:space="preserve"> Расчёты по налогам и сборам</t>
    </r>
  </si>
  <si>
    <r>
      <t>5.</t>
    </r>
    <r>
      <rPr>
        <sz val="9"/>
        <rFont val="Arial Cyr"/>
        <family val="2"/>
      </rPr>
      <t xml:space="preserve"> Расчёты с внебюджетными фондами</t>
    </r>
  </si>
  <si>
    <r>
      <t>6.</t>
    </r>
    <r>
      <rPr>
        <sz val="9"/>
        <rFont val="Arial Cyr"/>
        <family val="2"/>
      </rPr>
      <t xml:space="preserve"> Выплата авансов</t>
    </r>
  </si>
  <si>
    <t>Анализ движения денежных средств косвенным методом</t>
  </si>
  <si>
    <t>3.1 Увеличение (-), уменьшение (+) запасов</t>
  </si>
  <si>
    <t>3.2 Увеличение (-), уменьшение (+) НДС</t>
  </si>
  <si>
    <t>3.3 Увеличение (-), уменьшение (+) дебиторской задолженности (более 12 месяцев)</t>
  </si>
  <si>
    <t>3.4 Увеличение (-), уменьшение (+) дебиторской задолженности (менее 12 месяцев)</t>
  </si>
  <si>
    <t>3.5 Увеличение (-), уменьшение (+) краткосрочных финансовых вложений</t>
  </si>
  <si>
    <t>3.6 Увеличение (-), уменьшение (+) прочих оборотных активов</t>
  </si>
  <si>
    <t>Темп прироста, % к предыдущему году</t>
  </si>
  <si>
    <t>1. Показатели объема производства и продаж</t>
  </si>
  <si>
    <t>1.1 Выручка от продажи, тыс. руб.</t>
  </si>
  <si>
    <t>2. Показатели объема используемых ресурсов, капитала и затрат</t>
  </si>
  <si>
    <t>2.2. Годовой фонд оплаты труда персонала, тыс. руб.</t>
  </si>
  <si>
    <t>2.3. Среднесписочная численность персонала, чел.</t>
  </si>
  <si>
    <t>2.4. Средняя величина основного капитала (внеоборотных активов), тыс. руб.</t>
  </si>
  <si>
    <t>Первоначальная стоимость основных средств</t>
  </si>
  <si>
    <t>2.6. Средняя величина оборотного капитала (оборотных активов), тыс. руб.</t>
  </si>
  <si>
    <t>2.7. Сумма чистых активов (на конец периода), тыс. руб.</t>
  </si>
  <si>
    <t>2.8. Полная себестоимость проданных товаров, тыс. руб.</t>
  </si>
  <si>
    <t>3. Показатели, характеризующие финансовый результат</t>
  </si>
  <si>
    <t>3.1. Прибыль (убыток) от продаж, тыс. руб.</t>
  </si>
  <si>
    <t>3.2. Прибыль (убыток) до налогообложения, тыс. руб.</t>
  </si>
  <si>
    <t>3.3. Чистая прибыль (убыток), тыс. руб.</t>
  </si>
  <si>
    <t>4. Показатели эффективности использования ресурсов, капитала и затрат</t>
  </si>
  <si>
    <t>4.1. Среднемесячная зарплата одного работника, тыс. руб.</t>
  </si>
  <si>
    <t>4.2. Производительность труда (годовая выработка), тыс. руб.</t>
  </si>
  <si>
    <t>III. КАПИТАЛ И РЕЗЕРВЫ</t>
  </si>
  <si>
    <t>Первоначальная стоимость НМА</t>
  </si>
  <si>
    <t>Первоначальная стоимость НМА и ОС</t>
  </si>
  <si>
    <t>Зарплата с начислениями</t>
  </si>
  <si>
    <t>2002г.</t>
  </si>
  <si>
    <t>Темп роста показателя 2004 к 2003, %</t>
  </si>
  <si>
    <t>IV. ДОЛГОСРОЧНЫЕ ОБЯЗАТЕЛЬСТВА</t>
  </si>
  <si>
    <r>
      <t>1</t>
    </r>
    <r>
      <rPr>
        <sz val="8"/>
        <rFont val="Arial"/>
        <family val="2"/>
      </rPr>
      <t xml:space="preserve"> Выручка (нетто)</t>
    </r>
    <r>
      <rPr>
        <b/>
        <sz val="8"/>
        <rFont val="Arial"/>
        <family val="2"/>
      </rPr>
      <t xml:space="preserve"> </t>
    </r>
  </si>
  <si>
    <r>
      <t xml:space="preserve">2 </t>
    </r>
    <r>
      <rPr>
        <sz val="8"/>
        <rFont val="Arial"/>
        <family val="2"/>
      </rPr>
      <t>Себестоимость проданной продукции</t>
    </r>
  </si>
  <si>
    <r>
      <t>2.1</t>
    </r>
    <r>
      <rPr>
        <sz val="8"/>
        <rFont val="Arial"/>
        <family val="2"/>
      </rPr>
      <t xml:space="preserve"> Материальные затраты</t>
    </r>
  </si>
  <si>
    <r>
      <t>3</t>
    </r>
    <r>
      <rPr>
        <sz val="8"/>
        <rFont val="Arial"/>
        <family val="2"/>
      </rPr>
      <t xml:space="preserve"> Число дней в анализируемом периоде (дни)</t>
    </r>
  </si>
  <si>
    <r>
      <t xml:space="preserve">4 </t>
    </r>
    <r>
      <rPr>
        <sz val="8"/>
        <rFont val="Arial"/>
        <family val="2"/>
      </rPr>
      <t>Однодневный расход материалов</t>
    </r>
  </si>
  <si>
    <r>
      <t xml:space="preserve">4.1 </t>
    </r>
    <r>
      <rPr>
        <sz val="8"/>
        <rFont val="Arial"/>
        <family val="2"/>
      </rPr>
      <t>Срок оборота материальных запасов (дни)</t>
    </r>
  </si>
  <si>
    <t>эксп. метод</t>
  </si>
  <si>
    <r>
      <t xml:space="preserve">8 </t>
    </r>
    <r>
      <rPr>
        <sz val="8"/>
        <rFont val="Arial"/>
        <family val="2"/>
      </rPr>
      <t>Безнадёжная дебиторская задолженность</t>
    </r>
  </si>
  <si>
    <r>
      <t xml:space="preserve">9 </t>
    </r>
    <r>
      <rPr>
        <sz val="8"/>
        <rFont val="Arial"/>
        <family val="2"/>
      </rPr>
      <t>Средний остаток краткосрочн. обязательств</t>
    </r>
  </si>
  <si>
    <t>Расчёт достаточного уровня коэффициента текущей ликвидности (по методике С.В. Дыбаль)</t>
  </si>
  <si>
    <t>Норм. ограни-чения</t>
  </si>
  <si>
    <t>V КРАТКОСРОЧНЫЕ ОБЯЗАТЕЛЬСТВА</t>
  </si>
  <si>
    <t>Итого по разделу III</t>
  </si>
  <si>
    <t>Основные показатели финансово-хозяйственной деятельности</t>
  </si>
  <si>
    <t xml:space="preserve">Основные показатели финансово-хозяйственной деятельности </t>
  </si>
  <si>
    <t>Вероятность банкротства                           (1,81 ≤ Z ≤ 2,7 - неопределенное сост.;               Z &gt; 2,7 - фин. устойчивость;                           Z &lt; 1,81 - неустойчивое состояние)</t>
  </si>
  <si>
    <t>Вероятность банкротства                             (Z &lt; 0,2 - очень высокая вероятность банкротства;                                                              Z &gt; 0,3 - вероятность банкротства невелика)</t>
  </si>
  <si>
    <t>Вероятность банкротства                               (Z &lt; 0,037 - высокая вероятность банкротства;                                                              Z &gt; 0,037 -  вероятность банкротства невелика)</t>
  </si>
  <si>
    <t>Текущие обязательства (краткосрочные обязательства)</t>
  </si>
  <si>
    <t>Заемные средства (сумма долгосрочных и краткосрочных обязательств)</t>
  </si>
  <si>
    <t>К1 - коэффициент текущей ликвидности     (п.1 / п.2)</t>
  </si>
  <si>
    <t>К2 - коэффициент финансовой зависимости    (п.3 / п.4)</t>
  </si>
  <si>
    <t>Текущие активы (оборотные активы)</t>
  </si>
  <si>
    <t>Оценка значений                                                &lt;0, вероятность банкротства невелика                                 =0, вероятность банкротства 50%                             &gt;0, вероятность банкротства более 50 %</t>
  </si>
  <si>
    <t>Краткосрочные кредиты и займы (в т.ч. целевые финансирования и задолженность перед учредителями) (610+450+630)</t>
  </si>
  <si>
    <t>Кредиторская задолженность ( в т.ч. прочие краткосрочные пассивы) (620+660)</t>
  </si>
  <si>
    <t>3. Итого краткосрочная задолженность</t>
  </si>
  <si>
    <t>Коэффициентный анализ денежных средств</t>
  </si>
  <si>
    <t>Итого по разделу VII</t>
  </si>
  <si>
    <t>Трудоемкость</t>
  </si>
  <si>
    <t>Эффект от изменения себестоимости (экономия -, перерасход +)</t>
  </si>
  <si>
    <t>Эффект от использования авансированных внеоборотных и оборотных активов (экономия -, перерасход +)</t>
  </si>
  <si>
    <t>Относи-тельная экономия ресурсов (-) перерасход (+)</t>
  </si>
  <si>
    <t>4.3. Фондоотдача (по первоначальной стоимости)</t>
  </si>
  <si>
    <t>4.4. Материалоемкость продукции</t>
  </si>
  <si>
    <t>4.5. Коэффициент оборачиваемости оборотного капитала</t>
  </si>
  <si>
    <t>4.6. Затратоемкость проданных товаров</t>
  </si>
  <si>
    <t>4.7. Рентабельность продаж, %</t>
  </si>
  <si>
    <t>4.8. Рентабельность активов по чистой прибыли, %</t>
  </si>
  <si>
    <t>5. Показатели финансовой устойчивости и ликвидности (на конец периода)</t>
  </si>
  <si>
    <t>5.1. Коэффициент автономии</t>
  </si>
  <si>
    <t>5.2. Коэффициент абсолютной ликвидности</t>
  </si>
  <si>
    <t>5.3. Коэффициент текущей ликвидности (покрытия)</t>
  </si>
  <si>
    <t>5.4. Коэффициент обеспеченности собственными оборотными средствами</t>
  </si>
  <si>
    <t>2.5. Средняя величина основных средств
(по первоначальной стоимости), тыс. руб.</t>
  </si>
  <si>
    <t>* Соответствует методике А.Д. Шеремет и Е.В. Негашева</t>
  </si>
  <si>
    <r>
      <t>2.</t>
    </r>
    <r>
      <rPr>
        <sz val="8"/>
        <rFont val="Arial"/>
        <family val="2"/>
      </rPr>
      <t xml:space="preserve"> Внеоборотные активы</t>
    </r>
  </si>
  <si>
    <r>
      <t xml:space="preserve">3. </t>
    </r>
    <r>
      <rPr>
        <sz val="8"/>
        <rFont val="Arial"/>
        <family val="2"/>
      </rPr>
      <t>Оборотные активы</t>
    </r>
  </si>
  <si>
    <r>
      <t>13.</t>
    </r>
    <r>
      <rPr>
        <sz val="8"/>
        <rFont val="Arial"/>
        <family val="2"/>
      </rPr>
      <t xml:space="preserve"> Коэффициент покрытия (текущей ликвидности*) (п.1+п.2.+п.3+п.4+п.5)/п.10</t>
    </r>
  </si>
  <si>
    <r>
      <t>1.</t>
    </r>
    <r>
      <rPr>
        <sz val="9"/>
        <color indexed="9"/>
        <rFont val="Arial Cyr"/>
        <family val="0"/>
      </rPr>
      <t xml:space="preserve"> Нераспределенная прибыль отчетного года</t>
    </r>
  </si>
  <si>
    <r>
      <t xml:space="preserve">2. </t>
    </r>
    <r>
      <rPr>
        <sz val="9"/>
        <color indexed="9"/>
        <rFont val="Arial Cyr"/>
        <family val="0"/>
      </rPr>
      <t>Увеличение (-), уменьшение (-) внеоборотных активов</t>
    </r>
  </si>
  <si>
    <t>2.1 Изменение остаточной стоимости основных средств</t>
  </si>
  <si>
    <r>
      <t>3.</t>
    </r>
    <r>
      <rPr>
        <sz val="9"/>
        <color indexed="9"/>
        <rFont val="Arial Cyr"/>
        <family val="0"/>
      </rPr>
      <t xml:space="preserve"> Изменение оборотных активов (за исключением денежных средств)</t>
    </r>
  </si>
  <si>
    <t>Служащие</t>
  </si>
  <si>
    <t>Непроизводственный персонал</t>
  </si>
  <si>
    <t>Авансы</t>
  </si>
  <si>
    <t>Средние внеоборотные активы</t>
  </si>
  <si>
    <t>2003г.</t>
  </si>
  <si>
    <t>2004г.</t>
  </si>
  <si>
    <t>Средние оборотные активы</t>
  </si>
  <si>
    <t xml:space="preserve">Прирост ресурса, %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</si>
</sst>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000"/>
    <numFmt numFmtId="178" formatCode="0.0000"/>
    <numFmt numFmtId="179" formatCode="0.00000000"/>
    <numFmt numFmtId="180" formatCode="0.000000"/>
    <numFmt numFmtId="181" formatCode="0.00000"/>
    <numFmt numFmtId="182" formatCode="0.0000000000"/>
    <numFmt numFmtId="183" formatCode="0.000000000"/>
    <numFmt numFmtId="184" formatCode="[$€-2]\ ###,000_);[Red]\([$€-2]\ ###,000\)"/>
    <numFmt numFmtId="185" formatCode="#,##0.000"/>
    <numFmt numFmtId="186" formatCode="yyyy"/>
    <numFmt numFmtId="187" formatCode="#,##0.0"/>
    <numFmt numFmtId="188" formatCode="\(0\)"/>
    <numFmt numFmtId="189" formatCode="#,##0_р_."/>
    <numFmt numFmtId="190" formatCode="mmm/yyyy"/>
    <numFmt numFmtId="191" formatCode="[$-FC19]d\ mmmm\ yyyy\ &quot;г.&quot;"/>
  </numFmts>
  <fonts count="104">
    <font>
      <sz val="10"/>
      <name val="Arial Cyr"/>
      <family val="0"/>
    </font>
    <font>
      <sz val="8"/>
      <name val="Arial Cyr"/>
      <family val="0"/>
    </font>
    <font>
      <b/>
      <sz val="8"/>
      <name val="Arial"/>
      <family val="2"/>
    </font>
    <font>
      <sz val="8"/>
      <name val="Arial"/>
      <family val="2"/>
    </font>
    <font>
      <b/>
      <sz val="10"/>
      <name val="Arial"/>
      <family val="2"/>
    </font>
    <font>
      <b/>
      <sz val="8"/>
      <name val="Arial Cyr"/>
      <family val="2"/>
    </font>
    <font>
      <b/>
      <sz val="10"/>
      <name val="Arial Cyr"/>
      <family val="2"/>
    </font>
    <font>
      <u val="single"/>
      <sz val="10"/>
      <color indexed="12"/>
      <name val="Arial Cyr"/>
      <family val="0"/>
    </font>
    <font>
      <u val="single"/>
      <sz val="10"/>
      <color indexed="36"/>
      <name val="Arial Cyr"/>
      <family val="0"/>
    </font>
    <font>
      <sz val="10"/>
      <color indexed="46"/>
      <name val="Arial Cyr"/>
      <family val="2"/>
    </font>
    <font>
      <sz val="9"/>
      <name val="Arial Cyr"/>
      <family val="0"/>
    </font>
    <font>
      <b/>
      <sz val="12"/>
      <name val="Arial"/>
      <family val="2"/>
    </font>
    <font>
      <b/>
      <sz val="9"/>
      <name val="Arial"/>
      <family val="2"/>
    </font>
    <font>
      <sz val="9"/>
      <name val="Arial"/>
      <family val="2"/>
    </font>
    <font>
      <b/>
      <i/>
      <sz val="9"/>
      <color indexed="56"/>
      <name val="Arial"/>
      <family val="2"/>
    </font>
    <font>
      <i/>
      <sz val="9"/>
      <name val="Arial"/>
      <family val="2"/>
    </font>
    <font>
      <sz val="9"/>
      <color indexed="55"/>
      <name val="Arial"/>
      <family val="2"/>
    </font>
    <font>
      <i/>
      <sz val="9"/>
      <color indexed="55"/>
      <name val="Arial"/>
      <family val="2"/>
    </font>
    <font>
      <b/>
      <sz val="9"/>
      <color indexed="23"/>
      <name val="Arial"/>
      <family val="2"/>
    </font>
    <font>
      <b/>
      <sz val="9"/>
      <color indexed="55"/>
      <name val="Arial"/>
      <family val="2"/>
    </font>
    <font>
      <i/>
      <sz val="9"/>
      <color indexed="23"/>
      <name val="Arial"/>
      <family val="2"/>
    </font>
    <font>
      <b/>
      <i/>
      <sz val="9"/>
      <name val="Arial"/>
      <family val="2"/>
    </font>
    <font>
      <b/>
      <i/>
      <sz val="12"/>
      <color indexed="56"/>
      <name val="Arial Cyr"/>
      <family val="2"/>
    </font>
    <font>
      <b/>
      <sz val="9"/>
      <name val="Arial Cyr"/>
      <family val="0"/>
    </font>
    <font>
      <sz val="10"/>
      <name val="Arial"/>
      <family val="2"/>
    </font>
    <font>
      <b/>
      <sz val="10"/>
      <color indexed="9"/>
      <name val="Arial Cyr"/>
      <family val="0"/>
    </font>
    <font>
      <sz val="9"/>
      <color indexed="9"/>
      <name val="Arial Cyr"/>
      <family val="0"/>
    </font>
    <font>
      <sz val="10"/>
      <color indexed="9"/>
      <name val="Arial Cyr"/>
      <family val="0"/>
    </font>
    <font>
      <b/>
      <sz val="8"/>
      <color indexed="9"/>
      <name val="Arial Cyr"/>
      <family val="0"/>
    </font>
    <font>
      <b/>
      <sz val="9"/>
      <color indexed="9"/>
      <name val="Arial Cyr"/>
      <family val="0"/>
    </font>
    <font>
      <b/>
      <sz val="10"/>
      <name val="Times New Roman"/>
      <family val="1"/>
    </font>
    <font>
      <sz val="10"/>
      <name val="Times New Roman"/>
      <family val="1"/>
    </font>
    <font>
      <b/>
      <sz val="9"/>
      <name val="Times New Roman"/>
      <family val="1"/>
    </font>
    <font>
      <sz val="9"/>
      <name val="Times New Roman"/>
      <family val="1"/>
    </font>
    <font>
      <i/>
      <sz val="9"/>
      <name val="Times New Roman"/>
      <family val="1"/>
    </font>
    <font>
      <b/>
      <i/>
      <sz val="9"/>
      <name val="Times New Roman"/>
      <family val="1"/>
    </font>
    <font>
      <sz val="8"/>
      <name val="Times New Roman"/>
      <family val="1"/>
    </font>
    <font>
      <sz val="8"/>
      <color indexed="23"/>
      <name val="Arial Cyr"/>
      <family val="2"/>
    </font>
    <font>
      <b/>
      <sz val="8"/>
      <color indexed="23"/>
      <name val="Arial Cyr"/>
      <family val="2"/>
    </font>
    <font>
      <b/>
      <sz val="8"/>
      <color indexed="48"/>
      <name val="Arial Cyr"/>
      <family val="2"/>
    </font>
    <font>
      <sz val="8"/>
      <color indexed="48"/>
      <name val="Arial Cyr"/>
      <family val="2"/>
    </font>
    <font>
      <sz val="8"/>
      <name val="Tahoma"/>
      <family val="0"/>
    </font>
    <font>
      <b/>
      <sz val="8"/>
      <color indexed="12"/>
      <name val="Arial Cyr"/>
      <family val="0"/>
    </font>
    <font>
      <b/>
      <sz val="8"/>
      <name val="Tahoma"/>
      <family val="0"/>
    </font>
    <font>
      <sz val="14"/>
      <name val="Arial Cyr"/>
      <family val="0"/>
    </font>
    <font>
      <i/>
      <sz val="9"/>
      <color indexed="22"/>
      <name val="Arial"/>
      <family val="2"/>
    </font>
    <font>
      <sz val="8"/>
      <color indexed="8"/>
      <name val="Arial Cyr"/>
      <family val="2"/>
    </font>
    <font>
      <sz val="8"/>
      <color indexed="9"/>
      <name val="Arial Cyr"/>
      <family val="2"/>
    </font>
    <font>
      <b/>
      <sz val="8"/>
      <color indexed="48"/>
      <name val="Arial"/>
      <family val="2"/>
    </font>
    <font>
      <b/>
      <sz val="8"/>
      <color indexed="57"/>
      <name val="Arial Cyr"/>
      <family val="2"/>
    </font>
    <font>
      <sz val="8"/>
      <color indexed="57"/>
      <name val="Arial Cyr"/>
      <family val="2"/>
    </font>
    <font>
      <sz val="8"/>
      <color indexed="8"/>
      <name val="Arial"/>
      <family val="2"/>
    </font>
    <font>
      <b/>
      <i/>
      <sz val="9"/>
      <color indexed="56"/>
      <name val="Arial Cyr"/>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Cyr"/>
      <family val="0"/>
    </font>
    <font>
      <b/>
      <sz val="12"/>
      <color indexed="8"/>
      <name val="Arial Cyr"/>
      <family val="0"/>
    </font>
    <font>
      <b/>
      <sz val="15.25"/>
      <color indexed="8"/>
      <name val="Arial Cyr"/>
      <family val="0"/>
    </font>
    <font>
      <sz val="12.85"/>
      <color indexed="8"/>
      <name val="Arial Cyr"/>
      <family val="0"/>
    </font>
    <font>
      <sz val="9.5"/>
      <color indexed="8"/>
      <name val="Arial Cyr"/>
      <family val="0"/>
    </font>
    <font>
      <sz val="9.25"/>
      <color indexed="8"/>
      <name val="Arial Cyr"/>
      <family val="0"/>
    </font>
    <font>
      <sz val="11"/>
      <color indexed="8"/>
      <name val="Arial Cyr"/>
      <family val="0"/>
    </font>
    <font>
      <sz val="10.75"/>
      <color indexed="8"/>
      <name val="Arial Cyr"/>
      <family val="0"/>
    </font>
    <font>
      <sz val="14"/>
      <color indexed="8"/>
      <name val="Arial Cyr"/>
      <family val="0"/>
    </font>
    <font>
      <sz val="9.2"/>
      <color indexed="8"/>
      <name val="Arial Cyr"/>
      <family val="0"/>
    </font>
    <font>
      <sz val="23"/>
      <color indexed="8"/>
      <name val="Arial Cyr"/>
      <family val="0"/>
    </font>
    <font>
      <sz val="10.25"/>
      <color indexed="8"/>
      <name val="Arial Cyr"/>
      <family val="0"/>
    </font>
    <font>
      <b/>
      <sz val="11"/>
      <color indexed="8"/>
      <name val="Arial Cyr"/>
      <family val="0"/>
    </font>
    <font>
      <sz val="5.5"/>
      <color indexed="8"/>
      <name val="Arial Cyr"/>
      <family val="0"/>
    </font>
    <font>
      <b/>
      <sz val="8.5"/>
      <color indexed="8"/>
      <name val="Arial Cyr"/>
      <family val="0"/>
    </font>
    <font>
      <sz val="11.5"/>
      <color indexed="8"/>
      <name val="Arial Cyr"/>
      <family val="0"/>
    </font>
    <font>
      <sz val="10.1"/>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
      <patternFill patternType="solid">
        <fgColor indexed="55"/>
        <bgColor indexed="64"/>
      </patternFill>
    </fill>
    <fill>
      <patternFill patternType="solid">
        <fgColor indexed="45"/>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medium"/>
      <right style="thin"/>
      <top style="thin"/>
      <bottom style="thin"/>
    </border>
    <border>
      <left style="medium"/>
      <right style="thin"/>
      <top style="medium"/>
      <bottom style="thin"/>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color indexed="63"/>
      </left>
      <right style="thin"/>
      <top style="thin"/>
      <bottom style="medium"/>
    </border>
    <border>
      <left style="medium"/>
      <right>
        <color indexed="63"/>
      </right>
      <top>
        <color indexed="63"/>
      </top>
      <bottom style="thin"/>
    </border>
    <border>
      <left style="medium"/>
      <right style="thin"/>
      <top style="thin"/>
      <bottom style="medium"/>
    </border>
    <border>
      <left style="medium"/>
      <right style="thin"/>
      <top style="thin"/>
      <bottom>
        <color indexed="63"/>
      </bottom>
    </border>
    <border>
      <left style="thin"/>
      <right style="medium"/>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hair"/>
      <bottom style="thin"/>
    </border>
    <border>
      <left style="medium"/>
      <right style="medium"/>
      <top style="thin"/>
      <bottom style="thin"/>
    </border>
    <border>
      <left style="medium"/>
      <right style="medium"/>
      <top style="thin"/>
      <bottom style="medium"/>
    </border>
    <border>
      <left style="thin"/>
      <right style="thin"/>
      <top>
        <color indexed="63"/>
      </top>
      <bottom style="medium"/>
    </border>
    <border>
      <left style="thin"/>
      <right style="medium"/>
      <top>
        <color indexed="63"/>
      </top>
      <bottom style="medium"/>
    </border>
    <border>
      <left style="thin"/>
      <right style="medium"/>
      <top>
        <color indexed="63"/>
      </top>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style="thin"/>
      <top>
        <color indexed="63"/>
      </top>
      <bottom style="thin"/>
    </border>
    <border>
      <left style="thin"/>
      <right style="thin"/>
      <top style="medium"/>
      <bottom style="thin"/>
    </border>
    <border>
      <left style="thin"/>
      <right style="medium"/>
      <top style="medium"/>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0" fontId="91"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6" applyNumberFormat="0" applyFill="0" applyAlignment="0" applyProtection="0"/>
    <xf numFmtId="0" fontId="96" fillId="28" borderId="7" applyNumberFormat="0" applyAlignment="0" applyProtection="0"/>
    <xf numFmtId="0" fontId="97" fillId="0" borderId="0" applyNumberFormat="0" applyFill="0" applyBorder="0" applyAlignment="0" applyProtection="0"/>
    <xf numFmtId="0" fontId="98" fillId="29" borderId="0" applyNumberFormat="0" applyBorder="0" applyAlignment="0" applyProtection="0"/>
    <xf numFmtId="0" fontId="8" fillId="0" borderId="0" applyNumberFormat="0" applyFill="0" applyBorder="0" applyAlignment="0" applyProtection="0"/>
    <xf numFmtId="0" fontId="99" fillId="30" borderId="0" applyNumberFormat="0" applyBorder="0" applyAlignment="0" applyProtection="0"/>
    <xf numFmtId="0" fontId="10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3" fillId="32" borderId="0" applyNumberFormat="0" applyBorder="0" applyAlignment="0" applyProtection="0"/>
  </cellStyleXfs>
  <cellXfs count="764">
    <xf numFmtId="0" fontId="0" fillId="0" borderId="0" xfId="0" applyAlignment="1">
      <alignment/>
    </xf>
    <xf numFmtId="0" fontId="1" fillId="0" borderId="0" xfId="0" applyFont="1" applyAlignment="1">
      <alignment/>
    </xf>
    <xf numFmtId="0" fontId="3" fillId="0" borderId="10" xfId="0" applyFont="1" applyBorder="1" applyAlignment="1">
      <alignment vertical="top" wrapText="1"/>
    </xf>
    <xf numFmtId="0" fontId="4" fillId="0" borderId="0" xfId="0" applyFont="1" applyAlignment="1">
      <alignment/>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35" borderId="10" xfId="0" applyFont="1" applyFill="1" applyBorder="1" applyAlignment="1">
      <alignment vertical="top" wrapText="1"/>
    </xf>
    <xf numFmtId="0" fontId="3" fillId="0" borderId="11" xfId="0" applyFont="1" applyBorder="1" applyAlignment="1">
      <alignment vertical="top" wrapText="1"/>
    </xf>
    <xf numFmtId="0" fontId="1" fillId="0" borderId="11" xfId="0" applyFont="1" applyBorder="1" applyAlignment="1">
      <alignment/>
    </xf>
    <xf numFmtId="0" fontId="5" fillId="0" borderId="11" xfId="0" applyFont="1" applyBorder="1" applyAlignment="1">
      <alignment/>
    </xf>
    <xf numFmtId="0" fontId="3" fillId="35" borderId="11" xfId="0" applyFont="1" applyFill="1" applyBorder="1" applyAlignment="1">
      <alignment vertical="top" wrapText="1"/>
    </xf>
    <xf numFmtId="0" fontId="2" fillId="0" borderId="11" xfId="0" applyFont="1" applyBorder="1" applyAlignment="1">
      <alignment vertical="top" wrapText="1"/>
    </xf>
    <xf numFmtId="0" fontId="6" fillId="0" borderId="0" xfId="0" applyFont="1" applyAlignment="1">
      <alignment/>
    </xf>
    <xf numFmtId="0" fontId="0" fillId="0" borderId="0" xfId="0" applyFill="1" applyBorder="1" applyAlignment="1">
      <alignment/>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Border="1" applyAlignment="1">
      <alignment vertical="top"/>
    </xf>
    <xf numFmtId="0" fontId="1" fillId="0" borderId="0" xfId="0" applyFont="1" applyBorder="1" applyAlignment="1">
      <alignment/>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horizontal="center" vertical="center"/>
    </xf>
    <xf numFmtId="0" fontId="2" fillId="0" borderId="0" xfId="0" applyFont="1" applyFill="1" applyBorder="1" applyAlignment="1">
      <alignment/>
    </xf>
    <xf numFmtId="0" fontId="3" fillId="0" borderId="0" xfId="0" applyFont="1" applyFill="1" applyBorder="1" applyAlignment="1">
      <alignment/>
    </xf>
    <xf numFmtId="0" fontId="6"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Border="1" applyAlignment="1">
      <alignment horizontal="left"/>
    </xf>
    <xf numFmtId="0" fontId="2" fillId="0" borderId="10" xfId="0" applyFont="1" applyBorder="1" applyAlignment="1">
      <alignment vertical="top" wrapText="1"/>
    </xf>
    <xf numFmtId="0" fontId="3" fillId="0" borderId="0" xfId="0" applyFont="1" applyAlignment="1">
      <alignment/>
    </xf>
    <xf numFmtId="0" fontId="1" fillId="0" borderId="0" xfId="0" applyFont="1" applyAlignment="1">
      <alignment wrapText="1"/>
    </xf>
    <xf numFmtId="0" fontId="2" fillId="0" borderId="11" xfId="0" applyFont="1" applyBorder="1" applyAlignment="1">
      <alignment wrapText="1"/>
    </xf>
    <xf numFmtId="0" fontId="6" fillId="0" borderId="0" xfId="0" applyFont="1" applyAlignment="1">
      <alignment horizontal="center" vertical="center" wrapText="1"/>
    </xf>
    <xf numFmtId="0" fontId="1" fillId="0" borderId="0" xfId="0" applyFont="1" applyFill="1" applyBorder="1" applyAlignment="1">
      <alignment horizontal="center" vertical="center"/>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2" fillId="0" borderId="0" xfId="0" applyFont="1" applyFill="1" applyBorder="1" applyAlignment="1">
      <alignment vertical="top"/>
    </xf>
    <xf numFmtId="0" fontId="5" fillId="36" borderId="11" xfId="0" applyFont="1" applyFill="1" applyBorder="1" applyAlignment="1">
      <alignment horizontal="center" vertical="center"/>
    </xf>
    <xf numFmtId="0" fontId="5" fillId="36" borderId="11" xfId="0" applyFont="1" applyFill="1" applyBorder="1" applyAlignment="1">
      <alignment horizontal="center" vertical="center" wrapText="1"/>
    </xf>
    <xf numFmtId="0" fontId="2" fillId="36" borderId="11" xfId="0" applyFont="1" applyFill="1" applyBorder="1" applyAlignment="1">
      <alignment horizontal="center" vertical="center" wrapText="1"/>
    </xf>
    <xf numFmtId="14" fontId="2" fillId="36" borderId="11" xfId="0" applyNumberFormat="1" applyFont="1" applyFill="1" applyBorder="1" applyAlignment="1">
      <alignment horizontal="center" vertical="center" wrapText="1"/>
    </xf>
    <xf numFmtId="0" fontId="2" fillId="36" borderId="13" xfId="0" applyFont="1" applyFill="1" applyBorder="1" applyAlignment="1">
      <alignment horizontal="center" vertical="center" wrapText="1"/>
    </xf>
    <xf numFmtId="0" fontId="5" fillId="36" borderId="11" xfId="0" applyFont="1" applyFill="1" applyBorder="1" applyAlignment="1">
      <alignment horizontal="center" vertical="center" wrapText="1"/>
    </xf>
    <xf numFmtId="172" fontId="3" fillId="0" borderId="10" xfId="0" applyNumberFormat="1" applyFont="1" applyBorder="1" applyAlignment="1">
      <alignment vertical="top" wrapText="1"/>
    </xf>
    <xf numFmtId="172" fontId="3" fillId="35" borderId="10" xfId="0" applyNumberFormat="1" applyFont="1" applyFill="1" applyBorder="1" applyAlignment="1">
      <alignment vertical="top" wrapText="1"/>
    </xf>
    <xf numFmtId="172" fontId="3" fillId="0" borderId="11" xfId="0" applyNumberFormat="1" applyFont="1" applyBorder="1" applyAlignment="1">
      <alignment vertical="top" wrapText="1"/>
    </xf>
    <xf numFmtId="172" fontId="2" fillId="0" borderId="11" xfId="0" applyNumberFormat="1" applyFont="1" applyBorder="1" applyAlignment="1">
      <alignment vertical="top" wrapText="1"/>
    </xf>
    <xf numFmtId="172" fontId="3" fillId="35" borderId="11" xfId="0" applyNumberFormat="1" applyFont="1" applyFill="1" applyBorder="1" applyAlignment="1">
      <alignment vertical="top" wrapText="1"/>
    </xf>
    <xf numFmtId="172" fontId="1" fillId="0" borderId="11" xfId="0" applyNumberFormat="1" applyFont="1" applyBorder="1" applyAlignment="1">
      <alignment horizontal="center"/>
    </xf>
    <xf numFmtId="172" fontId="1" fillId="35" borderId="11" xfId="0" applyNumberFormat="1" applyFont="1" applyFill="1" applyBorder="1" applyAlignment="1">
      <alignment horizontal="center"/>
    </xf>
    <xf numFmtId="172" fontId="3" fillId="0" borderId="13" xfId="0" applyNumberFormat="1" applyFont="1" applyBorder="1" applyAlignment="1">
      <alignment horizontal="center" vertical="top" wrapText="1"/>
    </xf>
    <xf numFmtId="172" fontId="3" fillId="37" borderId="13" xfId="0" applyNumberFormat="1" applyFont="1" applyFill="1" applyBorder="1" applyAlignment="1">
      <alignment horizontal="center" vertical="top" wrapText="1"/>
    </xf>
    <xf numFmtId="0" fontId="1" fillId="0" borderId="11" xfId="0" applyFont="1" applyBorder="1" applyAlignment="1">
      <alignment horizontal="center"/>
    </xf>
    <xf numFmtId="176" fontId="1" fillId="0" borderId="11" xfId="0" applyNumberFormat="1" applyFont="1" applyBorder="1" applyAlignment="1">
      <alignment horizontal="center"/>
    </xf>
    <xf numFmtId="172" fontId="3" fillId="35" borderId="13" xfId="0" applyNumberFormat="1" applyFont="1" applyFill="1" applyBorder="1" applyAlignment="1">
      <alignment horizontal="center" vertical="top" wrapText="1"/>
    </xf>
    <xf numFmtId="2" fontId="3" fillId="0" borderId="13" xfId="0" applyNumberFormat="1" applyFont="1" applyBorder="1" applyAlignment="1">
      <alignment horizontal="center" vertical="top" wrapText="1"/>
    </xf>
    <xf numFmtId="0" fontId="3" fillId="0" borderId="13" xfId="0" applyFont="1" applyBorder="1" applyAlignment="1">
      <alignment horizontal="center" vertical="top" wrapText="1"/>
    </xf>
    <xf numFmtId="176" fontId="3" fillId="0" borderId="13" xfId="0" applyNumberFormat="1" applyFont="1" applyBorder="1" applyAlignment="1">
      <alignment horizontal="center" vertical="top" wrapText="1"/>
    </xf>
    <xf numFmtId="0" fontId="0" fillId="0" borderId="11" xfId="0" applyBorder="1" applyAlignment="1">
      <alignment vertical="center" wrapText="1"/>
    </xf>
    <xf numFmtId="0" fontId="0" fillId="0" borderId="11" xfId="0" applyBorder="1" applyAlignment="1">
      <alignment horizontal="left" vertical="center" wrapText="1"/>
    </xf>
    <xf numFmtId="2" fontId="1" fillId="0" borderId="11" xfId="0" applyNumberFormat="1" applyFont="1" applyBorder="1" applyAlignment="1">
      <alignment horizontal="center" vertical="top"/>
    </xf>
    <xf numFmtId="178" fontId="0" fillId="0" borderId="11" xfId="0" applyNumberFormat="1" applyBorder="1" applyAlignment="1">
      <alignment horizontal="center" vertical="center"/>
    </xf>
    <xf numFmtId="0" fontId="0" fillId="0" borderId="0" xfId="0" applyFont="1" applyAlignment="1">
      <alignment/>
    </xf>
    <xf numFmtId="0" fontId="9" fillId="0" borderId="0" xfId="0" applyFont="1" applyAlignment="1">
      <alignment/>
    </xf>
    <xf numFmtId="0" fontId="1" fillId="0" borderId="0" xfId="0" applyFont="1" applyAlignment="1">
      <alignment/>
    </xf>
    <xf numFmtId="178" fontId="1" fillId="0" borderId="11" xfId="0" applyNumberFormat="1" applyFont="1" applyBorder="1" applyAlignment="1">
      <alignment horizontal="center" vertical="center"/>
    </xf>
    <xf numFmtId="0" fontId="1" fillId="0" borderId="11" xfId="0" applyFont="1" applyBorder="1" applyAlignment="1">
      <alignment vertical="center"/>
    </xf>
    <xf numFmtId="0" fontId="3" fillId="0" borderId="11" xfId="0" applyFont="1" applyBorder="1" applyAlignment="1">
      <alignment wrapText="1"/>
    </xf>
    <xf numFmtId="0" fontId="3" fillId="0" borderId="11" xfId="0" applyFont="1" applyBorder="1" applyAlignment="1">
      <alignment horizontal="center" vertical="center"/>
    </xf>
    <xf numFmtId="0" fontId="3" fillId="0" borderId="0" xfId="0" applyFont="1" applyAlignment="1">
      <alignment wrapText="1"/>
    </xf>
    <xf numFmtId="0" fontId="3" fillId="34" borderId="11" xfId="0" applyFont="1" applyFill="1" applyBorder="1" applyAlignment="1">
      <alignment horizontal="center" vertical="center" wrapText="1"/>
    </xf>
    <xf numFmtId="0" fontId="3" fillId="34" borderId="11" xfId="0" applyFont="1" applyFill="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xf>
    <xf numFmtId="0" fontId="3" fillId="0" borderId="0" xfId="0" applyFont="1" applyBorder="1" applyAlignment="1">
      <alignment/>
    </xf>
    <xf numFmtId="0" fontId="3" fillId="0" borderId="0" xfId="0" applyFont="1" applyFill="1" applyBorder="1" applyAlignment="1">
      <alignment horizontal="center" wrapText="1"/>
    </xf>
    <xf numFmtId="178" fontId="3" fillId="0" borderId="11" xfId="0" applyNumberFormat="1" applyFont="1" applyBorder="1" applyAlignment="1">
      <alignment horizontal="center" vertical="center"/>
    </xf>
    <xf numFmtId="2" fontId="3" fillId="0" borderId="11" xfId="0" applyNumberFormat="1" applyFont="1" applyBorder="1" applyAlignment="1">
      <alignment horizontal="center" vertical="center"/>
    </xf>
    <xf numFmtId="181" fontId="3" fillId="0" borderId="11" xfId="0" applyNumberFormat="1" applyFont="1" applyBorder="1" applyAlignment="1">
      <alignment horizontal="center" vertical="center"/>
    </xf>
    <xf numFmtId="178" fontId="3" fillId="0" borderId="0" xfId="0" applyNumberFormat="1" applyFont="1" applyAlignment="1">
      <alignment/>
    </xf>
    <xf numFmtId="0" fontId="3" fillId="36" borderId="11" xfId="0" applyFont="1" applyFill="1" applyBorder="1" applyAlignment="1">
      <alignment horizontal="center" vertical="center"/>
    </xf>
    <xf numFmtId="0" fontId="3" fillId="36" borderId="11" xfId="0"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77" fontId="3" fillId="0" borderId="0" xfId="0" applyNumberFormat="1" applyFont="1" applyFill="1" applyBorder="1" applyAlignment="1">
      <alignment/>
    </xf>
    <xf numFmtId="0" fontId="3" fillId="0" borderId="0" xfId="0" applyFont="1" applyFill="1" applyBorder="1" applyAlignment="1">
      <alignment/>
    </xf>
    <xf numFmtId="0" fontId="0" fillId="0" borderId="0" xfId="0" applyAlignment="1">
      <alignment horizontal="center"/>
    </xf>
    <xf numFmtId="177" fontId="3" fillId="0" borderId="11" xfId="0" applyNumberFormat="1" applyFont="1" applyBorder="1" applyAlignment="1">
      <alignment horizontal="center"/>
    </xf>
    <xf numFmtId="180" fontId="3" fillId="0" borderId="11" xfId="0" applyNumberFormat="1" applyFont="1" applyBorder="1" applyAlignment="1">
      <alignment horizontal="center" vertical="center"/>
    </xf>
    <xf numFmtId="0" fontId="3" fillId="0" borderId="11" xfId="0" applyFont="1" applyBorder="1" applyAlignment="1">
      <alignment vertical="center" wrapText="1"/>
    </xf>
    <xf numFmtId="172" fontId="3" fillId="0" borderId="11" xfId="0" applyNumberFormat="1" applyFont="1" applyBorder="1" applyAlignment="1">
      <alignment horizontal="center" vertical="top" wrapText="1"/>
    </xf>
    <xf numFmtId="172" fontId="3" fillId="35" borderId="11" xfId="0" applyNumberFormat="1" applyFont="1" applyFill="1" applyBorder="1" applyAlignment="1">
      <alignment horizontal="center" vertical="top" wrapText="1"/>
    </xf>
    <xf numFmtId="0" fontId="6" fillId="0" borderId="11" xfId="0" applyFont="1" applyBorder="1" applyAlignment="1">
      <alignment vertical="center"/>
    </xf>
    <xf numFmtId="0" fontId="0" fillId="0" borderId="11" xfId="0" applyBorder="1" applyAlignment="1">
      <alignment vertical="center"/>
    </xf>
    <xf numFmtId="0" fontId="6" fillId="0" borderId="11" xfId="0" applyFont="1" applyBorder="1" applyAlignment="1">
      <alignment horizontal="left" vertical="center"/>
    </xf>
    <xf numFmtId="0" fontId="0" fillId="0" borderId="11" xfId="0" applyBorder="1" applyAlignment="1">
      <alignment horizontal="left" vertical="center"/>
    </xf>
    <xf numFmtId="0" fontId="1" fillId="0" borderId="11" xfId="0" applyFont="1" applyBorder="1" applyAlignment="1">
      <alignment wrapText="1"/>
    </xf>
    <xf numFmtId="0" fontId="1" fillId="34" borderId="11" xfId="0" applyFont="1" applyFill="1" applyBorder="1" applyAlignment="1">
      <alignment horizontal="center" vertical="center" wrapText="1"/>
    </xf>
    <xf numFmtId="0" fontId="1" fillId="0" borderId="11" xfId="0" applyFont="1" applyBorder="1" applyAlignment="1">
      <alignment wrapText="1"/>
    </xf>
    <xf numFmtId="0" fontId="1" fillId="0" borderId="11" xfId="0" applyFont="1" applyFill="1" applyBorder="1" applyAlignment="1">
      <alignment horizontal="left" vertical="center" wrapText="1"/>
    </xf>
    <xf numFmtId="0" fontId="1" fillId="0" borderId="11" xfId="0" applyFont="1" applyBorder="1" applyAlignment="1">
      <alignment/>
    </xf>
    <xf numFmtId="0" fontId="1" fillId="0" borderId="0" xfId="0" applyFont="1" applyBorder="1" applyAlignment="1">
      <alignment wrapText="1"/>
    </xf>
    <xf numFmtId="0" fontId="0" fillId="0" borderId="0" xfId="0" applyBorder="1" applyAlignment="1">
      <alignment horizontal="center"/>
    </xf>
    <xf numFmtId="176" fontId="1" fillId="0" borderId="11" xfId="0" applyNumberFormat="1" applyFont="1" applyBorder="1" applyAlignment="1">
      <alignment horizontal="center"/>
    </xf>
    <xf numFmtId="176" fontId="0" fillId="0" borderId="0" xfId="0" applyNumberFormat="1" applyBorder="1" applyAlignment="1">
      <alignment horizontal="center"/>
    </xf>
    <xf numFmtId="2" fontId="1" fillId="0" borderId="11" xfId="0" applyNumberFormat="1" applyFont="1" applyBorder="1" applyAlignment="1">
      <alignment horizontal="center"/>
    </xf>
    <xf numFmtId="172" fontId="1" fillId="0" borderId="11" xfId="0" applyNumberFormat="1" applyFont="1" applyBorder="1" applyAlignment="1">
      <alignment horizontal="center"/>
    </xf>
    <xf numFmtId="0" fontId="1" fillId="34" borderId="11" xfId="0" applyFont="1" applyFill="1" applyBorder="1" applyAlignment="1">
      <alignment horizontal="center" wrapText="1"/>
    </xf>
    <xf numFmtId="0" fontId="1" fillId="34" borderId="11" xfId="0" applyFont="1" applyFill="1" applyBorder="1" applyAlignment="1">
      <alignment horizontal="center"/>
    </xf>
    <xf numFmtId="0" fontId="1" fillId="34" borderId="11" xfId="0" applyNumberFormat="1" applyFont="1" applyFill="1" applyBorder="1" applyAlignment="1">
      <alignment horizontal="center" wrapText="1"/>
    </xf>
    <xf numFmtId="0" fontId="4" fillId="0" borderId="0" xfId="0" applyFont="1" applyAlignment="1">
      <alignment horizontal="center"/>
    </xf>
    <xf numFmtId="0" fontId="0" fillId="0" borderId="11" xfId="0" applyFont="1" applyBorder="1" applyAlignment="1">
      <alignment/>
    </xf>
    <xf numFmtId="0" fontId="0" fillId="0" borderId="11" xfId="0" applyFont="1" applyBorder="1" applyAlignment="1">
      <alignment horizontal="center"/>
    </xf>
    <xf numFmtId="0" fontId="3" fillId="0" borderId="14" xfId="0" applyFont="1" applyBorder="1" applyAlignment="1">
      <alignment horizontal="center" vertical="top" wrapText="1"/>
    </xf>
    <xf numFmtId="0" fontId="1" fillId="0" borderId="11" xfId="0" applyFont="1" applyBorder="1" applyAlignment="1">
      <alignment horizontal="center" vertical="top"/>
    </xf>
    <xf numFmtId="0" fontId="13" fillId="0" borderId="0" xfId="0" applyFont="1" applyAlignment="1">
      <alignment horizontal="center"/>
    </xf>
    <xf numFmtId="0" fontId="13" fillId="0" borderId="0" xfId="0" applyFont="1" applyAlignment="1">
      <alignment/>
    </xf>
    <xf numFmtId="0" fontId="13" fillId="33" borderId="10" xfId="0" applyNumberFormat="1" applyFont="1" applyFill="1" applyBorder="1" applyAlignment="1" applyProtection="1">
      <alignment horizontal="center" vertical="center"/>
      <protection/>
    </xf>
    <xf numFmtId="0" fontId="13" fillId="33" borderId="10" xfId="0" applyNumberFormat="1" applyFont="1" applyFill="1" applyBorder="1" applyAlignment="1" applyProtection="1">
      <alignment horizontal="center" vertical="center" wrapText="1"/>
      <protection/>
    </xf>
    <xf numFmtId="14" fontId="13" fillId="33" borderId="10" xfId="0" applyNumberFormat="1" applyFont="1" applyFill="1" applyBorder="1" applyAlignment="1" applyProtection="1">
      <alignment horizontal="center" vertical="center"/>
      <protection/>
    </xf>
    <xf numFmtId="0" fontId="12" fillId="0" borderId="15" xfId="0" applyNumberFormat="1" applyFont="1" applyFill="1" applyBorder="1" applyAlignment="1" applyProtection="1">
      <alignment horizontal="center" vertical="top"/>
      <protection/>
    </xf>
    <xf numFmtId="0" fontId="12" fillId="0" borderId="11" xfId="0" applyNumberFormat="1" applyFont="1" applyFill="1" applyBorder="1" applyAlignment="1" applyProtection="1">
      <alignment horizontal="center" vertical="top"/>
      <protection/>
    </xf>
    <xf numFmtId="0" fontId="13" fillId="0" borderId="11" xfId="0" applyNumberFormat="1" applyFont="1" applyFill="1" applyBorder="1" applyAlignment="1" applyProtection="1">
      <alignment horizontal="center" vertical="top"/>
      <protection/>
    </xf>
    <xf numFmtId="172" fontId="12" fillId="0" borderId="11" xfId="0" applyNumberFormat="1" applyFont="1" applyFill="1" applyBorder="1" applyAlignment="1" applyProtection="1">
      <alignment vertical="top"/>
      <protection/>
    </xf>
    <xf numFmtId="172" fontId="12" fillId="0" borderId="11" xfId="0" applyNumberFormat="1" applyFont="1" applyFill="1" applyBorder="1" applyAlignment="1" applyProtection="1">
      <alignment horizontal="center" vertical="top"/>
      <protection locked="0"/>
    </xf>
    <xf numFmtId="172" fontId="12" fillId="0" borderId="10" xfId="0" applyNumberFormat="1" applyFont="1" applyBorder="1" applyAlignment="1" applyProtection="1">
      <alignment horizontal="center" vertical="top"/>
      <protection locked="0"/>
    </xf>
    <xf numFmtId="172" fontId="12" fillId="0" borderId="11" xfId="0" applyNumberFormat="1" applyFont="1" applyFill="1" applyBorder="1" applyAlignment="1" applyProtection="1">
      <alignment horizontal="right" vertical="top"/>
      <protection/>
    </xf>
    <xf numFmtId="172" fontId="12" fillId="0" borderId="11" xfId="0" applyNumberFormat="1" applyFont="1" applyFill="1" applyBorder="1" applyAlignment="1" applyProtection="1">
      <alignment horizontal="center" vertical="top"/>
      <protection/>
    </xf>
    <xf numFmtId="172" fontId="12" fillId="37" borderId="15" xfId="0" applyNumberFormat="1" applyFont="1" applyFill="1" applyBorder="1" applyAlignment="1" applyProtection="1">
      <alignment horizontal="center" vertical="top"/>
      <protection/>
    </xf>
    <xf numFmtId="0" fontId="12" fillId="37" borderId="16" xfId="0" applyNumberFormat="1" applyFont="1" applyFill="1" applyBorder="1" applyAlignment="1" applyProtection="1">
      <alignment horizontal="center" vertical="top"/>
      <protection/>
    </xf>
    <xf numFmtId="172" fontId="13" fillId="37" borderId="16" xfId="0" applyNumberFormat="1" applyFont="1" applyFill="1" applyBorder="1" applyAlignment="1" applyProtection="1">
      <alignment horizontal="center" vertical="top"/>
      <protection/>
    </xf>
    <xf numFmtId="172" fontId="15" fillId="0" borderId="11" xfId="0" applyNumberFormat="1" applyFont="1" applyFill="1" applyBorder="1" applyAlignment="1" applyProtection="1">
      <alignment vertical="top" wrapText="1"/>
      <protection/>
    </xf>
    <xf numFmtId="0" fontId="15" fillId="0" borderId="11" xfId="0" applyNumberFormat="1" applyFont="1" applyFill="1" applyBorder="1" applyAlignment="1" applyProtection="1">
      <alignment horizontal="center" vertical="top"/>
      <protection/>
    </xf>
    <xf numFmtId="172" fontId="15" fillId="0" borderId="11" xfId="0" applyNumberFormat="1" applyFont="1" applyFill="1" applyBorder="1" applyAlignment="1" applyProtection="1">
      <alignment vertical="top"/>
      <protection/>
    </xf>
    <xf numFmtId="172" fontId="17" fillId="0" borderId="10" xfId="0" applyNumberFormat="1" applyFont="1" applyBorder="1" applyAlignment="1" applyProtection="1">
      <alignment horizontal="center" vertical="top"/>
      <protection locked="0"/>
    </xf>
    <xf numFmtId="172" fontId="12" fillId="0" borderId="11" xfId="0" applyNumberFormat="1" applyFont="1" applyFill="1" applyBorder="1" applyAlignment="1" applyProtection="1">
      <alignment vertical="top" wrapText="1"/>
      <protection/>
    </xf>
    <xf numFmtId="172" fontId="17" fillId="0" borderId="11" xfId="0" applyNumberFormat="1" applyFont="1" applyFill="1" applyBorder="1" applyAlignment="1" applyProtection="1">
      <alignment horizontal="center" vertical="top"/>
      <protection/>
    </xf>
    <xf numFmtId="172" fontId="12" fillId="0" borderId="0" xfId="0" applyNumberFormat="1" applyFont="1" applyFill="1" applyBorder="1" applyAlignment="1" applyProtection="1">
      <alignment horizontal="center" vertical="top"/>
      <protection/>
    </xf>
    <xf numFmtId="0" fontId="13" fillId="33" borderId="11" xfId="0" applyNumberFormat="1" applyFont="1" applyFill="1" applyBorder="1" applyAlignment="1" applyProtection="1">
      <alignment horizontal="center" vertical="center"/>
      <protection/>
    </xf>
    <xf numFmtId="172" fontId="13" fillId="0" borderId="11" xfId="0" applyNumberFormat="1" applyFont="1" applyFill="1" applyBorder="1" applyAlignment="1" applyProtection="1">
      <alignment horizontal="left" vertical="top"/>
      <protection/>
    </xf>
    <xf numFmtId="0" fontId="13" fillId="0" borderId="12" xfId="0" applyNumberFormat="1" applyFont="1" applyFill="1" applyBorder="1" applyAlignment="1" applyProtection="1">
      <alignment horizontal="center" vertical="top"/>
      <protection/>
    </xf>
    <xf numFmtId="172" fontId="12" fillId="0" borderId="11" xfId="0" applyNumberFormat="1" applyFont="1" applyFill="1" applyBorder="1" applyAlignment="1" applyProtection="1">
      <alignment horizontal="left" vertical="top"/>
      <protection/>
    </xf>
    <xf numFmtId="0" fontId="12" fillId="0" borderId="17" xfId="0" applyNumberFormat="1" applyFont="1" applyFill="1" applyBorder="1" applyAlignment="1" applyProtection="1">
      <alignment horizontal="center" vertical="top"/>
      <protection/>
    </xf>
    <xf numFmtId="172" fontId="12" fillId="0" borderId="17" xfId="0" applyNumberFormat="1" applyFont="1" applyFill="1" applyBorder="1" applyAlignment="1" applyProtection="1">
      <alignment horizontal="center" vertical="top"/>
      <protection/>
    </xf>
    <xf numFmtId="172" fontId="12" fillId="0" borderId="18" xfId="0" applyNumberFormat="1" applyFont="1" applyFill="1" applyBorder="1" applyAlignment="1" applyProtection="1">
      <alignment horizontal="center" vertical="top"/>
      <protection/>
    </xf>
    <xf numFmtId="0" fontId="12" fillId="0" borderId="10" xfId="0" applyNumberFormat="1" applyFont="1" applyFill="1" applyBorder="1" applyAlignment="1" applyProtection="1">
      <alignment horizontal="center" vertical="top"/>
      <protection/>
    </xf>
    <xf numFmtId="172" fontId="13" fillId="0" borderId="10" xfId="0" applyNumberFormat="1" applyFont="1" applyFill="1" applyBorder="1" applyAlignment="1" applyProtection="1">
      <alignment horizontal="center" vertical="top"/>
      <protection/>
    </xf>
    <xf numFmtId="172" fontId="13" fillId="0" borderId="10" xfId="0" applyNumberFormat="1" applyFont="1" applyBorder="1" applyAlignment="1">
      <alignment horizontal="center" vertical="top"/>
    </xf>
    <xf numFmtId="172" fontId="17" fillId="0" borderId="11" xfId="0" applyNumberFormat="1" applyFont="1" applyFill="1" applyBorder="1" applyAlignment="1" applyProtection="1">
      <alignment horizontal="center" vertical="top"/>
      <protection locked="0"/>
    </xf>
    <xf numFmtId="172" fontId="12" fillId="0" borderId="15" xfId="0" applyNumberFormat="1" applyFont="1" applyFill="1" applyBorder="1" applyAlignment="1" applyProtection="1">
      <alignment horizontal="center" vertical="top"/>
      <protection/>
    </xf>
    <xf numFmtId="172" fontId="20" fillId="0" borderId="10" xfId="0" applyNumberFormat="1" applyFont="1" applyBorder="1" applyAlignment="1" applyProtection="1">
      <alignment horizontal="center" vertical="top"/>
      <protection locked="0"/>
    </xf>
    <xf numFmtId="0" fontId="12" fillId="0" borderId="16" xfId="0" applyNumberFormat="1" applyFont="1" applyFill="1" applyBorder="1" applyAlignment="1" applyProtection="1">
      <alignment horizontal="center" vertical="top"/>
      <protection/>
    </xf>
    <xf numFmtId="172" fontId="12" fillId="37" borderId="16" xfId="0" applyNumberFormat="1" applyFont="1" applyFill="1" applyBorder="1" applyAlignment="1" applyProtection="1">
      <alignment horizontal="right" vertical="top"/>
      <protection/>
    </xf>
    <xf numFmtId="172" fontId="13" fillId="37" borderId="16" xfId="0" applyNumberFormat="1" applyFont="1" applyFill="1" applyBorder="1" applyAlignment="1">
      <alignment horizontal="center" vertical="top"/>
    </xf>
    <xf numFmtId="172" fontId="13" fillId="37" borderId="0" xfId="0" applyNumberFormat="1" applyFont="1" applyFill="1" applyAlignment="1">
      <alignment horizontal="center" vertical="top"/>
    </xf>
    <xf numFmtId="0" fontId="12" fillId="0" borderId="11" xfId="0" applyNumberFormat="1" applyFont="1" applyFill="1" applyBorder="1" applyAlignment="1" applyProtection="1">
      <alignment vertical="top" wrapText="1"/>
      <protection/>
    </xf>
    <xf numFmtId="49" fontId="12" fillId="0" borderId="11" xfId="0" applyNumberFormat="1" applyFont="1" applyFill="1" applyBorder="1" applyAlignment="1" applyProtection="1">
      <alignment horizontal="center" vertical="top"/>
      <protection/>
    </xf>
    <xf numFmtId="172" fontId="12" fillId="0" borderId="10" xfId="0" applyNumberFormat="1" applyFont="1" applyBorder="1" applyAlignment="1">
      <alignment horizontal="center" vertical="top"/>
    </xf>
    <xf numFmtId="0" fontId="15" fillId="0" borderId="11" xfId="0" applyNumberFormat="1" applyFont="1" applyFill="1" applyBorder="1" applyAlignment="1" applyProtection="1">
      <alignment vertical="top" wrapText="1"/>
      <protection/>
    </xf>
    <xf numFmtId="49" fontId="15" fillId="0" borderId="11" xfId="0" applyNumberFormat="1" applyFont="1" applyFill="1" applyBorder="1" applyAlignment="1" applyProtection="1">
      <alignment horizontal="center" vertical="top"/>
      <protection/>
    </xf>
    <xf numFmtId="172" fontId="17" fillId="0" borderId="18" xfId="0" applyNumberFormat="1" applyFont="1" applyBorder="1" applyAlignment="1" applyProtection="1">
      <alignment horizontal="center" vertical="top"/>
      <protection locked="0"/>
    </xf>
    <xf numFmtId="0" fontId="12" fillId="0" borderId="11" xfId="0" applyNumberFormat="1" applyFont="1" applyFill="1" applyBorder="1" applyAlignment="1" applyProtection="1">
      <alignment vertical="top"/>
      <protection/>
    </xf>
    <xf numFmtId="0" fontId="15" fillId="0" borderId="11" xfId="0" applyNumberFormat="1" applyFont="1" applyFill="1" applyBorder="1" applyAlignment="1" applyProtection="1">
      <alignment vertical="top"/>
      <protection/>
    </xf>
    <xf numFmtId="172" fontId="12" fillId="0" borderId="18" xfId="0" applyNumberFormat="1" applyFont="1" applyBorder="1" applyAlignment="1" applyProtection="1">
      <alignment horizontal="center" vertical="top"/>
      <protection locked="0"/>
    </xf>
    <xf numFmtId="49" fontId="15" fillId="0" borderId="11" xfId="0" applyNumberFormat="1" applyFont="1" applyFill="1" applyBorder="1" applyAlignment="1" applyProtection="1">
      <alignment horizontal="center"/>
      <protection/>
    </xf>
    <xf numFmtId="172" fontId="17" fillId="0" borderId="11" xfId="0" applyNumberFormat="1" applyFont="1" applyFill="1" applyBorder="1" applyAlignment="1" applyProtection="1">
      <alignment horizontal="center"/>
      <protection locked="0"/>
    </xf>
    <xf numFmtId="172" fontId="17" fillId="0" borderId="18" xfId="0" applyNumberFormat="1" applyFont="1" applyBorder="1" applyAlignment="1" applyProtection="1">
      <alignment horizontal="center"/>
      <protection locked="0"/>
    </xf>
    <xf numFmtId="172" fontId="17" fillId="0" borderId="10" xfId="0" applyNumberFormat="1" applyFont="1" applyBorder="1" applyAlignment="1" applyProtection="1">
      <alignment horizontal="center"/>
      <protection locked="0"/>
    </xf>
    <xf numFmtId="172" fontId="17" fillId="0" borderId="18" xfId="0" applyNumberFormat="1" applyFont="1" applyFill="1" applyBorder="1" applyAlignment="1" applyProtection="1">
      <alignment horizontal="center" vertical="top"/>
      <protection/>
    </xf>
    <xf numFmtId="172" fontId="17" fillId="0" borderId="10" xfId="0" applyNumberFormat="1" applyFont="1" applyFill="1" applyBorder="1" applyAlignment="1" applyProtection="1">
      <alignment horizontal="center" vertical="top"/>
      <protection/>
    </xf>
    <xf numFmtId="172" fontId="20" fillId="0" borderId="11" xfId="0" applyNumberFormat="1" applyFont="1" applyFill="1" applyBorder="1" applyAlignment="1" applyProtection="1">
      <alignment horizontal="center" vertical="top"/>
      <protection locked="0"/>
    </xf>
    <xf numFmtId="172" fontId="20" fillId="0" borderId="18" xfId="0" applyNumberFormat="1" applyFont="1" applyBorder="1" applyAlignment="1" applyProtection="1">
      <alignment horizontal="center" vertical="top"/>
      <protection locked="0"/>
    </xf>
    <xf numFmtId="0" fontId="12" fillId="0" borderId="11" xfId="0" applyNumberFormat="1" applyFont="1" applyFill="1" applyBorder="1" applyAlignment="1" applyProtection="1">
      <alignment horizontal="left" vertical="top" wrapText="1"/>
      <protection/>
    </xf>
    <xf numFmtId="172" fontId="20" fillId="0" borderId="11" xfId="0" applyNumberFormat="1" applyFont="1" applyFill="1" applyBorder="1" applyAlignment="1" applyProtection="1">
      <alignment horizontal="center"/>
      <protection locked="0"/>
    </xf>
    <xf numFmtId="172" fontId="20" fillId="0" borderId="18" xfId="0" applyNumberFormat="1" applyFont="1" applyBorder="1" applyAlignment="1" applyProtection="1">
      <alignment horizontal="center"/>
      <protection locked="0"/>
    </xf>
    <xf numFmtId="172" fontId="20" fillId="0" borderId="10" xfId="0" applyNumberFormat="1" applyFont="1" applyBorder="1" applyAlignment="1" applyProtection="1">
      <alignment horizontal="center"/>
      <protection locked="0"/>
    </xf>
    <xf numFmtId="0" fontId="15" fillId="0" borderId="11" xfId="0" applyNumberFormat="1" applyFont="1" applyFill="1" applyBorder="1" applyAlignment="1" applyProtection="1">
      <alignment horizontal="left" vertical="top" wrapText="1"/>
      <protection/>
    </xf>
    <xf numFmtId="0" fontId="13" fillId="0" borderId="0" xfId="0" applyFont="1" applyAlignment="1">
      <alignment vertical="top" wrapText="1"/>
    </xf>
    <xf numFmtId="172" fontId="13" fillId="0" borderId="0" xfId="0" applyNumberFormat="1" applyFont="1" applyAlignment="1">
      <alignment/>
    </xf>
    <xf numFmtId="0" fontId="12" fillId="33" borderId="11" xfId="0" applyNumberFormat="1" applyFont="1" applyFill="1" applyBorder="1" applyAlignment="1" applyProtection="1">
      <alignment horizontal="center" vertical="top"/>
      <protection/>
    </xf>
    <xf numFmtId="0" fontId="13" fillId="33" borderId="11" xfId="0" applyNumberFormat="1" applyFont="1" applyFill="1" applyBorder="1" applyAlignment="1" applyProtection="1">
      <alignment horizontal="center" vertical="top"/>
      <protection/>
    </xf>
    <xf numFmtId="172" fontId="12" fillId="33" borderId="15" xfId="0" applyNumberFormat="1" applyFont="1" applyFill="1" applyBorder="1" applyAlignment="1" applyProtection="1">
      <alignment horizontal="center" vertical="center"/>
      <protection/>
    </xf>
    <xf numFmtId="0" fontId="15" fillId="33" borderId="11" xfId="0" applyNumberFormat="1" applyFont="1" applyFill="1" applyBorder="1" applyAlignment="1" applyProtection="1">
      <alignment horizontal="center" vertical="top"/>
      <protection/>
    </xf>
    <xf numFmtId="172" fontId="13" fillId="33" borderId="11" xfId="0" applyNumberFormat="1" applyFont="1" applyFill="1" applyBorder="1" applyAlignment="1" applyProtection="1">
      <alignment horizontal="center" vertical="center"/>
      <protection/>
    </xf>
    <xf numFmtId="0" fontId="13" fillId="33" borderId="11" xfId="0" applyNumberFormat="1" applyFont="1" applyFill="1" applyBorder="1" applyAlignment="1" applyProtection="1">
      <alignment horizontal="center" vertical="center" wrapText="1"/>
      <protection/>
    </xf>
    <xf numFmtId="0" fontId="10" fillId="0" borderId="0" xfId="0" applyFont="1" applyAlignment="1">
      <alignment/>
    </xf>
    <xf numFmtId="0" fontId="10" fillId="33" borderId="18" xfId="0" applyFont="1" applyFill="1" applyBorder="1" applyAlignment="1">
      <alignment horizontal="center"/>
    </xf>
    <xf numFmtId="0" fontId="10" fillId="33" borderId="11" xfId="0" applyFont="1"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9" xfId="0" applyFont="1" applyBorder="1" applyAlignment="1">
      <alignment/>
    </xf>
    <xf numFmtId="0" fontId="10" fillId="0" borderId="0" xfId="0" applyFont="1" applyBorder="1" applyAlignment="1">
      <alignment/>
    </xf>
    <xf numFmtId="0" fontId="10" fillId="0" borderId="18" xfId="0" applyFont="1" applyBorder="1" applyAlignment="1">
      <alignment/>
    </xf>
    <xf numFmtId="0" fontId="10" fillId="0" borderId="20" xfId="0" applyFont="1" applyBorder="1" applyAlignment="1">
      <alignment/>
    </xf>
    <xf numFmtId="0" fontId="22" fillId="0" borderId="0" xfId="0" applyFont="1" applyFill="1" applyBorder="1" applyAlignment="1">
      <alignment horizontal="center"/>
    </xf>
    <xf numFmtId="0" fontId="10" fillId="0" borderId="0" xfId="0" applyFont="1" applyFill="1" applyBorder="1" applyAlignment="1">
      <alignment horizontal="center"/>
    </xf>
    <xf numFmtId="0" fontId="10" fillId="0" borderId="0" xfId="0" applyFont="1" applyBorder="1" applyAlignment="1">
      <alignment horizontal="center"/>
    </xf>
    <xf numFmtId="0" fontId="5" fillId="36" borderId="19" xfId="0" applyFont="1" applyFill="1" applyBorder="1" applyAlignment="1">
      <alignment horizontal="center"/>
    </xf>
    <xf numFmtId="0" fontId="5" fillId="36" borderId="12" xfId="0" applyFont="1" applyFill="1" applyBorder="1" applyAlignment="1">
      <alignment wrapText="1"/>
    </xf>
    <xf numFmtId="0" fontId="5" fillId="36" borderId="10" xfId="0" applyFont="1" applyFill="1" applyBorder="1" applyAlignment="1">
      <alignment/>
    </xf>
    <xf numFmtId="0" fontId="5" fillId="36" borderId="21" xfId="0" applyFont="1" applyFill="1" applyBorder="1" applyAlignment="1">
      <alignment horizontal="center"/>
    </xf>
    <xf numFmtId="0" fontId="5" fillId="36" borderId="22" xfId="0" applyFont="1" applyFill="1" applyBorder="1" applyAlignment="1">
      <alignment horizontal="center" wrapText="1" shrinkToFit="1"/>
    </xf>
    <xf numFmtId="0" fontId="5" fillId="36" borderId="22" xfId="0" applyFont="1" applyFill="1" applyBorder="1" applyAlignment="1">
      <alignment horizontal="center"/>
    </xf>
    <xf numFmtId="0" fontId="5" fillId="36" borderId="21" xfId="0" applyFont="1" applyFill="1" applyBorder="1" applyAlignment="1">
      <alignment/>
    </xf>
    <xf numFmtId="0" fontId="23" fillId="0" borderId="11" xfId="0" applyFont="1" applyBorder="1" applyAlignment="1">
      <alignment/>
    </xf>
    <xf numFmtId="4" fontId="1" fillId="0" borderId="11" xfId="0" applyNumberFormat="1" applyFont="1" applyBorder="1" applyAlignment="1">
      <alignment horizontal="center"/>
    </xf>
    <xf numFmtId="4" fontId="1" fillId="0" borderId="11" xfId="0" applyNumberFormat="1" applyFont="1" applyBorder="1" applyAlignment="1">
      <alignment horizontal="center" vertical="center"/>
    </xf>
    <xf numFmtId="0" fontId="23" fillId="0" borderId="11" xfId="0" applyFont="1" applyBorder="1" applyAlignment="1">
      <alignment wrapText="1"/>
    </xf>
    <xf numFmtId="0" fontId="24" fillId="0" borderId="0" xfId="0" applyFont="1" applyAlignment="1">
      <alignment/>
    </xf>
    <xf numFmtId="0" fontId="12" fillId="0" borderId="0" xfId="0" applyNumberFormat="1" applyFont="1" applyFill="1" applyBorder="1" applyAlignment="1" applyProtection="1">
      <alignment horizontal="center" vertical="top"/>
      <protection/>
    </xf>
    <xf numFmtId="172" fontId="12" fillId="0" borderId="0" xfId="0" applyNumberFormat="1" applyFont="1" applyFill="1" applyBorder="1" applyAlignment="1" applyProtection="1">
      <alignment horizontal="left" vertical="top"/>
      <protection/>
    </xf>
    <xf numFmtId="0" fontId="13" fillId="0" borderId="17" xfId="0" applyFont="1" applyBorder="1" applyAlignment="1">
      <alignment/>
    </xf>
    <xf numFmtId="172" fontId="12" fillId="0" borderId="17" xfId="0" applyNumberFormat="1" applyFont="1" applyFill="1" applyBorder="1" applyAlignment="1" applyProtection="1">
      <alignment horizontal="right" vertical="top"/>
      <protection/>
    </xf>
    <xf numFmtId="0" fontId="13" fillId="0" borderId="0" xfId="0" applyNumberFormat="1" applyFont="1" applyFill="1" applyBorder="1" applyAlignment="1" applyProtection="1">
      <alignment horizontal="center" vertical="top"/>
      <protection/>
    </xf>
    <xf numFmtId="172" fontId="12" fillId="0" borderId="23" xfId="0" applyNumberFormat="1" applyFont="1" applyFill="1" applyBorder="1" applyAlignment="1" applyProtection="1">
      <alignment horizontal="right" vertical="top"/>
      <protection/>
    </xf>
    <xf numFmtId="0" fontId="12" fillId="0" borderId="23" xfId="0" applyNumberFormat="1" applyFont="1" applyFill="1" applyBorder="1" applyAlignment="1" applyProtection="1">
      <alignment horizontal="center" vertical="top"/>
      <protection/>
    </xf>
    <xf numFmtId="172" fontId="12" fillId="0" borderId="23" xfId="0" applyNumberFormat="1" applyFont="1" applyFill="1" applyBorder="1" applyAlignment="1" applyProtection="1">
      <alignment horizontal="center" vertical="top"/>
      <protection/>
    </xf>
    <xf numFmtId="0" fontId="2" fillId="0" borderId="0" xfId="0" applyFont="1" applyBorder="1" applyAlignment="1">
      <alignment horizontal="left" vertical="top" wrapText="1"/>
    </xf>
    <xf numFmtId="0" fontId="1" fillId="0" borderId="0" xfId="0" applyFont="1" applyBorder="1" applyAlignment="1">
      <alignment horizontal="center" vertical="top"/>
    </xf>
    <xf numFmtId="0" fontId="0" fillId="0" borderId="0" xfId="0" applyBorder="1" applyAlignment="1">
      <alignment horizontal="center" vertical="top"/>
    </xf>
    <xf numFmtId="0" fontId="10" fillId="0" borderId="0" xfId="0" applyFont="1" applyBorder="1" applyAlignment="1">
      <alignment horizontal="center" vertical="top"/>
    </xf>
    <xf numFmtId="0" fontId="25" fillId="0" borderId="0" xfId="0" applyFont="1" applyAlignment="1">
      <alignment/>
    </xf>
    <xf numFmtId="0" fontId="26" fillId="0" borderId="0" xfId="0" applyFont="1" applyAlignment="1">
      <alignment/>
    </xf>
    <xf numFmtId="0" fontId="27" fillId="0" borderId="0" xfId="0" applyFont="1" applyAlignment="1">
      <alignment/>
    </xf>
    <xf numFmtId="0" fontId="28" fillId="0" borderId="0" xfId="0" applyFont="1" applyAlignment="1">
      <alignment horizontal="center"/>
    </xf>
    <xf numFmtId="0" fontId="29" fillId="0" borderId="0" xfId="0" applyFont="1" applyAlignment="1">
      <alignment/>
    </xf>
    <xf numFmtId="16" fontId="26" fillId="0" borderId="0" xfId="0" applyNumberFormat="1" applyFont="1" applyAlignment="1">
      <alignment/>
    </xf>
    <xf numFmtId="0" fontId="2" fillId="36" borderId="22" xfId="0" applyFont="1" applyFill="1" applyBorder="1" applyAlignment="1">
      <alignment horizontal="center" vertical="center" wrapText="1"/>
    </xf>
    <xf numFmtId="0" fontId="3" fillId="0" borderId="0" xfId="0" applyFont="1" applyAlignment="1">
      <alignment/>
    </xf>
    <xf numFmtId="0" fontId="4" fillId="0" borderId="0" xfId="0" applyFont="1" applyAlignment="1">
      <alignment/>
    </xf>
    <xf numFmtId="0" fontId="3" fillId="0" borderId="11" xfId="0" applyFont="1" applyBorder="1" applyAlignment="1">
      <alignment/>
    </xf>
    <xf numFmtId="0" fontId="3" fillId="0" borderId="11" xfId="0" applyFont="1" applyBorder="1" applyAlignment="1">
      <alignment horizontal="center" vertical="center"/>
    </xf>
    <xf numFmtId="0" fontId="3" fillId="0" borderId="11" xfId="0" applyFont="1" applyBorder="1" applyAlignment="1">
      <alignment vertical="top" wrapText="1"/>
    </xf>
    <xf numFmtId="176" fontId="3" fillId="0" borderId="11" xfId="0" applyNumberFormat="1" applyFont="1" applyBorder="1" applyAlignment="1">
      <alignment horizontal="center" vertical="center"/>
    </xf>
    <xf numFmtId="0" fontId="3" fillId="0" borderId="11" xfId="0" applyFont="1" applyBorder="1" applyAlignment="1">
      <alignment horizontal="center"/>
    </xf>
    <xf numFmtId="176" fontId="3" fillId="0" borderId="11" xfId="0" applyNumberFormat="1" applyFont="1" applyBorder="1" applyAlignment="1">
      <alignment horizontal="center"/>
    </xf>
    <xf numFmtId="0" fontId="2" fillId="0" borderId="11" xfId="0" applyFont="1" applyBorder="1" applyAlignment="1">
      <alignment vertical="top" wrapText="1"/>
    </xf>
    <xf numFmtId="0" fontId="30" fillId="0" borderId="0" xfId="0" applyFont="1" applyAlignment="1">
      <alignment horizontal="left"/>
    </xf>
    <xf numFmtId="0" fontId="31" fillId="0" borderId="0" xfId="0" applyFont="1" applyAlignment="1">
      <alignment/>
    </xf>
    <xf numFmtId="0" fontId="30" fillId="0" borderId="11" xfId="0" applyFont="1" applyBorder="1" applyAlignment="1">
      <alignment horizontal="center" vertical="center"/>
    </xf>
    <xf numFmtId="0" fontId="31" fillId="0" borderId="11" xfId="0" applyFont="1" applyBorder="1" applyAlignment="1">
      <alignment/>
    </xf>
    <xf numFmtId="3" fontId="31" fillId="0" borderId="11" xfId="0" applyNumberFormat="1" applyFont="1" applyBorder="1" applyAlignment="1">
      <alignment horizontal="center"/>
    </xf>
    <xf numFmtId="0" fontId="31" fillId="0" borderId="11" xfId="0" applyFont="1" applyBorder="1" applyAlignment="1">
      <alignment wrapText="1"/>
    </xf>
    <xf numFmtId="3" fontId="31" fillId="0" borderId="11" xfId="0" applyNumberFormat="1" applyFont="1" applyBorder="1" applyAlignment="1">
      <alignment horizontal="center" vertical="center"/>
    </xf>
    <xf numFmtId="1" fontId="31" fillId="0" borderId="11" xfId="0" applyNumberFormat="1" applyFont="1" applyBorder="1" applyAlignment="1">
      <alignment horizontal="center" vertical="center"/>
    </xf>
    <xf numFmtId="0" fontId="31" fillId="0" borderId="11" xfId="0" applyFont="1" applyBorder="1" applyAlignment="1">
      <alignment vertical="top" wrapText="1"/>
    </xf>
    <xf numFmtId="185" fontId="31" fillId="0" borderId="11" xfId="0" applyNumberFormat="1" applyFont="1" applyBorder="1" applyAlignment="1">
      <alignment horizontal="center" vertical="center"/>
    </xf>
    <xf numFmtId="4" fontId="31" fillId="0" borderId="11" xfId="0" applyNumberFormat="1" applyFont="1" applyBorder="1" applyAlignment="1">
      <alignment horizontal="center" vertical="center"/>
    </xf>
    <xf numFmtId="2" fontId="31" fillId="0" borderId="11" xfId="0" applyNumberFormat="1" applyFont="1" applyBorder="1" applyAlignment="1">
      <alignment horizontal="center"/>
    </xf>
    <xf numFmtId="1" fontId="31" fillId="0" borderId="11" xfId="0" applyNumberFormat="1" applyFont="1" applyBorder="1" applyAlignment="1">
      <alignment horizontal="center"/>
    </xf>
    <xf numFmtId="0" fontId="33" fillId="0" borderId="0" xfId="0" applyFont="1" applyAlignment="1">
      <alignment/>
    </xf>
    <xf numFmtId="0" fontId="32" fillId="0" borderId="11" xfId="0" applyFont="1" applyBorder="1" applyAlignment="1">
      <alignment horizontal="center" vertical="center"/>
    </xf>
    <xf numFmtId="0" fontId="33" fillId="0" borderId="11" xfId="0" applyFont="1" applyBorder="1" applyAlignment="1">
      <alignment/>
    </xf>
    <xf numFmtId="0" fontId="34" fillId="0" borderId="11" xfId="0" applyFont="1" applyBorder="1" applyAlignment="1">
      <alignment wrapText="1"/>
    </xf>
    <xf numFmtId="0" fontId="33" fillId="0" borderId="11" xfId="0" applyFont="1" applyBorder="1" applyAlignment="1">
      <alignment wrapText="1"/>
    </xf>
    <xf numFmtId="0" fontId="34" fillId="0" borderId="11" xfId="0" applyFont="1" applyBorder="1" applyAlignment="1">
      <alignment vertical="top" wrapText="1"/>
    </xf>
    <xf numFmtId="0" fontId="33" fillId="0" borderId="11" xfId="0" applyFont="1" applyBorder="1" applyAlignment="1">
      <alignment vertical="top" wrapText="1"/>
    </xf>
    <xf numFmtId="0" fontId="33" fillId="0" borderId="11" xfId="0" applyFont="1" applyBorder="1" applyAlignment="1">
      <alignment horizontal="left"/>
    </xf>
    <xf numFmtId="0" fontId="36" fillId="0" borderId="0" xfId="0" applyFont="1" applyAlignment="1">
      <alignment/>
    </xf>
    <xf numFmtId="0" fontId="33" fillId="0" borderId="11" xfId="0" applyFont="1" applyBorder="1" applyAlignment="1">
      <alignment vertical="top"/>
    </xf>
    <xf numFmtId="0" fontId="1" fillId="0" borderId="24" xfId="0" applyFont="1" applyBorder="1" applyAlignment="1">
      <alignment horizontal="center"/>
    </xf>
    <xf numFmtId="14" fontId="2" fillId="36" borderId="12" xfId="0" applyNumberFormat="1" applyFont="1" applyFill="1" applyBorder="1" applyAlignment="1">
      <alignment horizontal="center" vertical="center" wrapText="1"/>
    </xf>
    <xf numFmtId="14" fontId="5" fillId="36" borderId="11" xfId="0" applyNumberFormat="1" applyFont="1" applyFill="1" applyBorder="1" applyAlignment="1">
      <alignment horizontal="center" vertical="center"/>
    </xf>
    <xf numFmtId="0" fontId="5" fillId="0" borderId="15" xfId="0" applyFont="1" applyBorder="1" applyAlignment="1">
      <alignment wrapText="1"/>
    </xf>
    <xf numFmtId="0" fontId="1" fillId="0" borderId="15" xfId="0" applyFont="1" applyBorder="1" applyAlignment="1">
      <alignment wrapText="1"/>
    </xf>
    <xf numFmtId="0" fontId="1" fillId="0" borderId="19" xfId="0" applyFont="1" applyBorder="1" applyAlignment="1">
      <alignment wrapText="1"/>
    </xf>
    <xf numFmtId="0" fontId="1" fillId="0" borderId="18" xfId="0" applyFont="1" applyBorder="1" applyAlignment="1">
      <alignment wrapText="1"/>
    </xf>
    <xf numFmtId="0" fontId="5" fillId="0" borderId="19" xfId="0" applyFont="1" applyBorder="1" applyAlignment="1">
      <alignment wrapText="1"/>
    </xf>
    <xf numFmtId="0" fontId="5" fillId="0" borderId="20" xfId="0" applyFont="1" applyBorder="1" applyAlignment="1">
      <alignment wrapText="1"/>
    </xf>
    <xf numFmtId="0" fontId="1" fillId="0" borderId="20" xfId="0" applyFont="1" applyFill="1" applyBorder="1" applyAlignment="1">
      <alignment wrapText="1"/>
    </xf>
    <xf numFmtId="0" fontId="1" fillId="0" borderId="18" xfId="0" applyFont="1" applyFill="1" applyBorder="1" applyAlignment="1">
      <alignment wrapText="1"/>
    </xf>
    <xf numFmtId="0" fontId="1" fillId="0" borderId="19" xfId="0" applyFont="1" applyFill="1" applyBorder="1" applyAlignment="1">
      <alignment wrapText="1"/>
    </xf>
    <xf numFmtId="0" fontId="1" fillId="0" borderId="15" xfId="0" applyFont="1" applyFill="1" applyBorder="1" applyAlignment="1">
      <alignment wrapText="1"/>
    </xf>
    <xf numFmtId="0" fontId="1" fillId="0" borderId="20" xfId="0" applyFont="1" applyBorder="1" applyAlignment="1">
      <alignment wrapText="1"/>
    </xf>
    <xf numFmtId="3" fontId="1" fillId="0" borderId="11" xfId="0" applyNumberFormat="1" applyFont="1" applyBorder="1" applyAlignment="1">
      <alignment horizontal="center"/>
    </xf>
    <xf numFmtId="187" fontId="12" fillId="0" borderId="11" xfId="0" applyNumberFormat="1" applyFont="1" applyFill="1" applyBorder="1" applyAlignment="1" applyProtection="1">
      <alignment horizontal="center" vertical="top"/>
      <protection locked="0"/>
    </xf>
    <xf numFmtId="187" fontId="12" fillId="0" borderId="10" xfId="0" applyNumberFormat="1" applyFont="1" applyBorder="1" applyAlignment="1" applyProtection="1">
      <alignment horizontal="center" vertical="top"/>
      <protection locked="0"/>
    </xf>
    <xf numFmtId="187" fontId="12" fillId="0" borderId="10" xfId="0" applyNumberFormat="1" applyFont="1" applyFill="1" applyBorder="1" applyAlignment="1" applyProtection="1">
      <alignment horizontal="center" vertical="top"/>
      <protection locked="0"/>
    </xf>
    <xf numFmtId="187" fontId="12" fillId="0" borderId="11" xfId="0" applyNumberFormat="1" applyFont="1" applyFill="1" applyBorder="1" applyAlignment="1" applyProtection="1">
      <alignment horizontal="center" vertical="top"/>
      <protection/>
    </xf>
    <xf numFmtId="187" fontId="13" fillId="37" borderId="16" xfId="0" applyNumberFormat="1" applyFont="1" applyFill="1" applyBorder="1" applyAlignment="1" applyProtection="1">
      <alignment horizontal="center" vertical="top"/>
      <protection/>
    </xf>
    <xf numFmtId="187" fontId="13" fillId="37" borderId="13" xfId="0" applyNumberFormat="1" applyFont="1" applyFill="1" applyBorder="1" applyAlignment="1">
      <alignment horizontal="center" vertical="top"/>
    </xf>
    <xf numFmtId="187" fontId="16" fillId="0" borderId="11" xfId="0" applyNumberFormat="1" applyFont="1" applyFill="1" applyBorder="1" applyAlignment="1" applyProtection="1">
      <alignment horizontal="center" vertical="top"/>
      <protection locked="0"/>
    </xf>
    <xf numFmtId="187" fontId="16" fillId="0" borderId="10" xfId="0" applyNumberFormat="1" applyFont="1" applyBorder="1" applyAlignment="1" applyProtection="1">
      <alignment horizontal="center" vertical="top"/>
      <protection locked="0"/>
    </xf>
    <xf numFmtId="187" fontId="17" fillId="0" borderId="11" xfId="0" applyNumberFormat="1" applyFont="1" applyFill="1" applyBorder="1" applyAlignment="1" applyProtection="1">
      <alignment horizontal="center" vertical="top"/>
      <protection locked="0"/>
    </xf>
    <xf numFmtId="187" fontId="17" fillId="0" borderId="10" xfId="0" applyNumberFormat="1" applyFont="1" applyBorder="1" applyAlignment="1" applyProtection="1">
      <alignment horizontal="center" vertical="top"/>
      <protection locked="0"/>
    </xf>
    <xf numFmtId="187" fontId="17" fillId="0" borderId="11" xfId="0" applyNumberFormat="1" applyFont="1" applyFill="1" applyBorder="1" applyAlignment="1" applyProtection="1">
      <alignment horizontal="center" vertical="top"/>
      <protection/>
    </xf>
    <xf numFmtId="187" fontId="17" fillId="0" borderId="10" xfId="0" applyNumberFormat="1" applyFont="1" applyBorder="1" applyAlignment="1" applyProtection="1">
      <alignment horizontal="center" vertical="top"/>
      <protection/>
    </xf>
    <xf numFmtId="187" fontId="13" fillId="0" borderId="11" xfId="0" applyNumberFormat="1" applyFont="1" applyFill="1" applyBorder="1" applyAlignment="1" applyProtection="1">
      <alignment horizontal="center" vertical="top"/>
      <protection/>
    </xf>
    <xf numFmtId="187" fontId="13" fillId="0" borderId="11" xfId="0" applyNumberFormat="1" applyFont="1" applyBorder="1" applyAlignment="1">
      <alignment horizontal="center" vertical="top"/>
    </xf>
    <xf numFmtId="187" fontId="20" fillId="0" borderId="11" xfId="0" applyNumberFormat="1" applyFont="1" applyFill="1" applyBorder="1" applyAlignment="1" applyProtection="1">
      <alignment horizontal="center" vertical="top"/>
      <protection locked="0"/>
    </xf>
    <xf numFmtId="187" fontId="20" fillId="0" borderId="10" xfId="0" applyNumberFormat="1" applyFont="1" applyBorder="1" applyAlignment="1" applyProtection="1">
      <alignment horizontal="center" vertical="top"/>
      <protection locked="0"/>
    </xf>
    <xf numFmtId="187" fontId="13" fillId="0" borderId="16" xfId="0" applyNumberFormat="1" applyFont="1" applyFill="1" applyBorder="1" applyAlignment="1" applyProtection="1">
      <alignment horizontal="center" vertical="top"/>
      <protection/>
    </xf>
    <xf numFmtId="187" fontId="13" fillId="0" borderId="13" xfId="0" applyNumberFormat="1" applyFont="1" applyBorder="1" applyAlignment="1">
      <alignment horizontal="center" vertical="top"/>
    </xf>
    <xf numFmtId="187" fontId="12" fillId="0" borderId="15" xfId="0" applyNumberFormat="1" applyFont="1" applyFill="1" applyBorder="1" applyAlignment="1" applyProtection="1">
      <alignment horizontal="center" vertical="top"/>
      <protection/>
    </xf>
    <xf numFmtId="187" fontId="1" fillId="0" borderId="11" xfId="0" applyNumberFormat="1" applyFont="1" applyBorder="1" applyAlignment="1">
      <alignment horizontal="center" vertical="center"/>
    </xf>
    <xf numFmtId="187" fontId="1" fillId="35" borderId="11" xfId="0" applyNumberFormat="1" applyFont="1" applyFill="1" applyBorder="1" applyAlignment="1">
      <alignment horizontal="center" vertical="center"/>
    </xf>
    <xf numFmtId="4" fontId="0" fillId="0" borderId="11" xfId="0" applyNumberFormat="1" applyFont="1" applyBorder="1" applyAlignment="1">
      <alignment horizontal="center"/>
    </xf>
    <xf numFmtId="4" fontId="3" fillId="0" borderId="13"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1" fillId="0" borderId="11" xfId="0" applyNumberFormat="1" applyFont="1" applyBorder="1" applyAlignment="1">
      <alignment horizontal="center" vertical="center"/>
    </xf>
    <xf numFmtId="4" fontId="3" fillId="0" borderId="13"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1" fillId="0" borderId="11" xfId="0" applyNumberFormat="1" applyFont="1" applyBorder="1" applyAlignment="1">
      <alignment horizontal="center" vertical="top"/>
    </xf>
    <xf numFmtId="4" fontId="3" fillId="0" borderId="22" xfId="0" applyNumberFormat="1" applyFont="1" applyBorder="1" applyAlignment="1">
      <alignment horizontal="center" vertical="top" wrapText="1"/>
    </xf>
    <xf numFmtId="4" fontId="0" fillId="0" borderId="11" xfId="0" applyNumberFormat="1" applyBorder="1" applyAlignment="1">
      <alignment horizontal="center" vertical="top"/>
    </xf>
    <xf numFmtId="4" fontId="10" fillId="0" borderId="11" xfId="0" applyNumberFormat="1" applyFont="1" applyBorder="1" applyAlignment="1">
      <alignment horizontal="center" vertical="top"/>
    </xf>
    <xf numFmtId="187" fontId="3" fillId="0" borderId="11" xfId="0" applyNumberFormat="1" applyFont="1" applyBorder="1" applyAlignment="1">
      <alignment horizontal="center" vertical="center" wrapText="1"/>
    </xf>
    <xf numFmtId="187" fontId="1" fillId="0" borderId="11" xfId="0" applyNumberFormat="1" applyFont="1" applyBorder="1" applyAlignment="1">
      <alignment horizontal="center" vertical="center"/>
    </xf>
    <xf numFmtId="187" fontId="3" fillId="0" borderId="13" xfId="0" applyNumberFormat="1" applyFont="1" applyBorder="1" applyAlignment="1">
      <alignment horizontal="center" vertical="center" wrapText="1"/>
    </xf>
    <xf numFmtId="187" fontId="3" fillId="0" borderId="12" xfId="0" applyNumberFormat="1" applyFont="1" applyBorder="1" applyAlignment="1">
      <alignment horizontal="center" vertical="center" wrapText="1"/>
    </xf>
    <xf numFmtId="187" fontId="1" fillId="0" borderId="11" xfId="0" applyNumberFormat="1" applyFont="1" applyBorder="1" applyAlignment="1">
      <alignment horizontal="center" vertical="center" wrapText="1"/>
    </xf>
    <xf numFmtId="187" fontId="1" fillId="0" borderId="0" xfId="0" applyNumberFormat="1" applyFont="1" applyAlignment="1">
      <alignment horizontal="center" vertical="center"/>
    </xf>
    <xf numFmtId="4" fontId="3" fillId="0" borderId="11" xfId="0" applyNumberFormat="1" applyFont="1" applyBorder="1" applyAlignment="1">
      <alignment horizontal="center" wrapText="1"/>
    </xf>
    <xf numFmtId="187" fontId="3" fillId="0" borderId="11" xfId="0" applyNumberFormat="1" applyFont="1" applyBorder="1" applyAlignment="1">
      <alignment horizontal="center" vertical="center"/>
    </xf>
    <xf numFmtId="49" fontId="1" fillId="0" borderId="25" xfId="0" applyNumberFormat="1" applyFont="1" applyBorder="1" applyAlignment="1">
      <alignment horizontal="center"/>
    </xf>
    <xf numFmtId="49" fontId="1" fillId="0" borderId="24" xfId="0" applyNumberFormat="1" applyFont="1" applyBorder="1" applyAlignment="1">
      <alignment horizontal="center"/>
    </xf>
    <xf numFmtId="185" fontId="1" fillId="0" borderId="11" xfId="0" applyNumberFormat="1" applyFont="1" applyBorder="1" applyAlignment="1">
      <alignment horizontal="center"/>
    </xf>
    <xf numFmtId="0" fontId="1" fillId="0" borderId="11" xfId="0" applyFont="1" applyBorder="1" applyAlignment="1">
      <alignment horizontal="center" wrapText="1"/>
    </xf>
    <xf numFmtId="0" fontId="1" fillId="35" borderId="11" xfId="0" applyFont="1" applyFill="1" applyBorder="1" applyAlignment="1">
      <alignment wrapText="1"/>
    </xf>
    <xf numFmtId="0" fontId="1" fillId="35" borderId="11" xfId="0" applyFont="1" applyFill="1" applyBorder="1" applyAlignment="1">
      <alignment horizontal="center" wrapText="1"/>
    </xf>
    <xf numFmtId="0" fontId="5" fillId="0" borderId="11" xfId="0" applyFont="1" applyBorder="1" applyAlignment="1">
      <alignment wrapText="1"/>
    </xf>
    <xf numFmtId="0" fontId="0" fillId="35" borderId="11" xfId="0" applyFill="1" applyBorder="1" applyAlignment="1">
      <alignment vertical="center"/>
    </xf>
    <xf numFmtId="0" fontId="5" fillId="38" borderId="11" xfId="0" applyFont="1" applyFill="1" applyBorder="1" applyAlignment="1">
      <alignment horizontal="center" vertical="center" wrapText="1"/>
    </xf>
    <xf numFmtId="0" fontId="6" fillId="0" borderId="0" xfId="0" applyFont="1" applyAlignment="1">
      <alignment horizontal="left"/>
    </xf>
    <xf numFmtId="0" fontId="5" fillId="39" borderId="11" xfId="0" applyFont="1" applyFill="1" applyBorder="1" applyAlignment="1">
      <alignment horizontal="center" vertical="center" wrapText="1"/>
    </xf>
    <xf numFmtId="14" fontId="5" fillId="39" borderId="11" xfId="0" applyNumberFormat="1" applyFont="1" applyFill="1" applyBorder="1" applyAlignment="1">
      <alignment horizontal="center" vertical="center" wrapText="1"/>
    </xf>
    <xf numFmtId="0" fontId="0" fillId="34" borderId="26" xfId="0" applyFill="1" applyBorder="1" applyAlignment="1">
      <alignment/>
    </xf>
    <xf numFmtId="0" fontId="0" fillId="0" borderId="0" xfId="0" applyFill="1" applyAlignment="1">
      <alignment/>
    </xf>
    <xf numFmtId="0" fontId="0" fillId="0" borderId="11" xfId="0" applyBorder="1" applyAlignment="1">
      <alignment horizontal="center" vertical="center" wrapText="1"/>
    </xf>
    <xf numFmtId="0" fontId="0" fillId="34" borderId="11" xfId="0" applyFill="1" applyBorder="1" applyAlignment="1">
      <alignment/>
    </xf>
    <xf numFmtId="0" fontId="4" fillId="0" borderId="0" xfId="0" applyFont="1" applyAlignment="1">
      <alignment vertical="center"/>
    </xf>
    <xf numFmtId="0" fontId="5" fillId="0" borderId="0" xfId="0" applyFont="1" applyAlignment="1">
      <alignment/>
    </xf>
    <xf numFmtId="172" fontId="12" fillId="0" borderId="0" xfId="0" applyNumberFormat="1" applyFont="1" applyFill="1" applyBorder="1" applyAlignment="1" applyProtection="1">
      <alignment vertical="top" wrapText="1"/>
      <protection/>
    </xf>
    <xf numFmtId="172" fontId="15" fillId="0" borderId="0" xfId="0" applyNumberFormat="1" applyFont="1" applyFill="1" applyBorder="1" applyAlignment="1" applyProtection="1">
      <alignment vertical="top" wrapText="1"/>
      <protection/>
    </xf>
    <xf numFmtId="172" fontId="12" fillId="0" borderId="0" xfId="0" applyNumberFormat="1" applyFont="1" applyFill="1" applyBorder="1" applyAlignment="1" applyProtection="1">
      <alignment horizontal="right" vertical="top" wrapText="1"/>
      <protection/>
    </xf>
    <xf numFmtId="172" fontId="12" fillId="0" borderId="0" xfId="0" applyNumberFormat="1" applyFont="1" applyFill="1" applyBorder="1" applyAlignment="1" applyProtection="1">
      <alignment horizontal="center" vertical="top" wrapText="1"/>
      <protection/>
    </xf>
    <xf numFmtId="0" fontId="0" fillId="0" borderId="0" xfId="0" applyAlignment="1">
      <alignment wrapText="1"/>
    </xf>
    <xf numFmtId="0" fontId="1" fillId="0" borderId="0" xfId="0" applyFont="1" applyAlignment="1">
      <alignment horizontal="center"/>
    </xf>
    <xf numFmtId="0" fontId="6" fillId="0" borderId="0" xfId="0" applyFont="1" applyAlignment="1">
      <alignment horizontal="left"/>
    </xf>
    <xf numFmtId="0" fontId="0" fillId="0" borderId="11" xfId="0" applyBorder="1" applyAlignment="1">
      <alignment/>
    </xf>
    <xf numFmtId="0" fontId="0" fillId="0" borderId="11" xfId="0" applyBorder="1" applyAlignment="1">
      <alignment wrapText="1"/>
    </xf>
    <xf numFmtId="0" fontId="0" fillId="0" borderId="11" xfId="0" applyBorder="1" applyAlignment="1">
      <alignment horizontal="center"/>
    </xf>
    <xf numFmtId="0" fontId="0" fillId="0" borderId="12" xfId="0" applyBorder="1" applyAlignment="1">
      <alignment wrapText="1"/>
    </xf>
    <xf numFmtId="0" fontId="0" fillId="0" borderId="11" xfId="0" applyFill="1" applyBorder="1" applyAlignment="1">
      <alignment horizontal="center"/>
    </xf>
    <xf numFmtId="49" fontId="0" fillId="0" borderId="11" xfId="0" applyNumberFormat="1" applyBorder="1" applyAlignment="1">
      <alignment/>
    </xf>
    <xf numFmtId="0" fontId="6" fillId="0" borderId="11" xfId="0" applyFont="1" applyBorder="1" applyAlignment="1">
      <alignment/>
    </xf>
    <xf numFmtId="0" fontId="39" fillId="0" borderId="15" xfId="0" applyFont="1" applyFill="1" applyBorder="1" applyAlignment="1">
      <alignment wrapText="1"/>
    </xf>
    <xf numFmtId="0" fontId="40" fillId="0" borderId="16" xfId="0" applyFont="1" applyFill="1" applyBorder="1" applyAlignment="1">
      <alignment wrapText="1"/>
    </xf>
    <xf numFmtId="0" fontId="40" fillId="0" borderId="12" xfId="0" applyFont="1" applyFill="1" applyBorder="1" applyAlignment="1">
      <alignment wrapText="1"/>
    </xf>
    <xf numFmtId="0" fontId="39" fillId="0" borderId="16" xfId="0" applyFont="1" applyFill="1" applyBorder="1" applyAlignment="1">
      <alignment wrapText="1"/>
    </xf>
    <xf numFmtId="14" fontId="1" fillId="36" borderId="11" xfId="0" applyNumberFormat="1" applyFont="1" applyFill="1" applyBorder="1" applyAlignment="1">
      <alignment vertical="center"/>
    </xf>
    <xf numFmtId="0" fontId="1" fillId="40" borderId="0" xfId="0" applyFont="1" applyFill="1" applyAlignment="1">
      <alignment wrapText="1"/>
    </xf>
    <xf numFmtId="172" fontId="5" fillId="0" borderId="11" xfId="0" applyNumberFormat="1" applyFont="1" applyBorder="1" applyAlignment="1">
      <alignment horizontal="center"/>
    </xf>
    <xf numFmtId="0" fontId="5" fillId="34" borderId="27" xfId="0" applyFont="1" applyFill="1" applyBorder="1" applyAlignment="1">
      <alignment horizontal="center"/>
    </xf>
    <xf numFmtId="14" fontId="5" fillId="34" borderId="28" xfId="0" applyNumberFormat="1" applyFont="1" applyFill="1" applyBorder="1" applyAlignment="1">
      <alignment horizontal="center"/>
    </xf>
    <xf numFmtId="14" fontId="5" fillId="34" borderId="29" xfId="0" applyNumberFormat="1" applyFont="1" applyFill="1" applyBorder="1" applyAlignment="1">
      <alignment horizontal="center"/>
    </xf>
    <xf numFmtId="2" fontId="5" fillId="0" borderId="11" xfId="0" applyNumberFormat="1" applyFont="1" applyBorder="1" applyAlignment="1">
      <alignment horizontal="center"/>
    </xf>
    <xf numFmtId="2" fontId="5" fillId="0" borderId="30" xfId="0" applyNumberFormat="1" applyFont="1" applyBorder="1" applyAlignment="1">
      <alignment horizontal="center"/>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4" fontId="1" fillId="0" borderId="11" xfId="0" applyNumberFormat="1" applyFont="1" applyBorder="1" applyAlignment="1">
      <alignment horizontal="left" wrapText="1"/>
    </xf>
    <xf numFmtId="4" fontId="5" fillId="0" borderId="11" xfId="0" applyNumberFormat="1" applyFont="1" applyBorder="1" applyAlignment="1">
      <alignment horizontal="center" wrapText="1"/>
    </xf>
    <xf numFmtId="4" fontId="5" fillId="0" borderId="30" xfId="0" applyNumberFormat="1" applyFont="1" applyBorder="1" applyAlignment="1">
      <alignment horizontal="center" wrapText="1"/>
    </xf>
    <xf numFmtId="0" fontId="1" fillId="0" borderId="31" xfId="0" applyFont="1" applyBorder="1" applyAlignment="1">
      <alignment horizontal="left" wrapText="1"/>
    </xf>
    <xf numFmtId="0" fontId="1" fillId="0" borderId="11" xfId="0" applyFont="1" applyBorder="1" applyAlignment="1">
      <alignment horizontal="left" wrapText="1"/>
    </xf>
    <xf numFmtId="2" fontId="5" fillId="0" borderId="11" xfId="0" applyNumberFormat="1" applyFont="1" applyBorder="1" applyAlignment="1">
      <alignment horizontal="center" wrapText="1"/>
    </xf>
    <xf numFmtId="2" fontId="5" fillId="0" borderId="30" xfId="0" applyNumberFormat="1" applyFont="1" applyBorder="1" applyAlignment="1">
      <alignment horizontal="center" wrapText="1"/>
    </xf>
    <xf numFmtId="0" fontId="1" fillId="0" borderId="11" xfId="0" applyFont="1" applyBorder="1" applyAlignment="1">
      <alignment horizontal="left"/>
    </xf>
    <xf numFmtId="0" fontId="1" fillId="0" borderId="22" xfId="0" applyFont="1" applyBorder="1" applyAlignment="1">
      <alignment horizontal="left"/>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31" xfId="0" applyFont="1" applyBorder="1" applyAlignment="1">
      <alignment horizontal="left"/>
    </xf>
    <xf numFmtId="0" fontId="5" fillId="34" borderId="34" xfId="0" applyFont="1" applyFill="1" applyBorder="1" applyAlignment="1">
      <alignment horizontal="center"/>
    </xf>
    <xf numFmtId="14" fontId="2" fillId="34" borderId="35" xfId="0" applyNumberFormat="1" applyFont="1" applyFill="1" applyBorder="1" applyAlignment="1" applyProtection="1">
      <alignment horizontal="center" vertical="center"/>
      <protection/>
    </xf>
    <xf numFmtId="14" fontId="2" fillId="34" borderId="36" xfId="0" applyNumberFormat="1" applyFont="1" applyFill="1" applyBorder="1" applyAlignment="1" applyProtection="1">
      <alignment horizontal="center" vertical="center"/>
      <protection/>
    </xf>
    <xf numFmtId="0" fontId="5" fillId="0" borderId="37" xfId="0" applyFont="1" applyBorder="1" applyAlignment="1">
      <alignment horizontal="left" vertical="center" wrapText="1"/>
    </xf>
    <xf numFmtId="0" fontId="1" fillId="0" borderId="0" xfId="0" applyFont="1" applyAlignment="1">
      <alignment horizontal="left" vertical="center" wrapText="1"/>
    </xf>
    <xf numFmtId="3" fontId="1" fillId="0" borderId="13" xfId="0" applyNumberFormat="1" applyFont="1" applyBorder="1" applyAlignment="1">
      <alignment horizontal="center" vertical="center"/>
    </xf>
    <xf numFmtId="0" fontId="5" fillId="0" borderId="11" xfId="0" applyFont="1" applyFill="1" applyBorder="1" applyAlignment="1">
      <alignment horizontal="left" vertical="center" wrapText="1"/>
    </xf>
    <xf numFmtId="4" fontId="1" fillId="0" borderId="13" xfId="0" applyNumberFormat="1" applyFont="1" applyBorder="1" applyAlignment="1">
      <alignment horizontal="center" vertical="center"/>
    </xf>
    <xf numFmtId="4" fontId="5" fillId="0" borderId="13" xfId="0" applyNumberFormat="1" applyFont="1" applyBorder="1" applyAlignment="1">
      <alignment horizontal="center" vertical="center"/>
    </xf>
    <xf numFmtId="0" fontId="5" fillId="34" borderId="11" xfId="0" applyFont="1" applyFill="1" applyBorder="1" applyAlignment="1">
      <alignment horizontal="left" vertical="center" wrapText="1"/>
    </xf>
    <xf numFmtId="0" fontId="1" fillId="34" borderId="38" xfId="0" applyFont="1" applyFill="1" applyBorder="1" applyAlignment="1">
      <alignment horizontal="left" vertical="center" wrapText="1"/>
    </xf>
    <xf numFmtId="0" fontId="1" fillId="0" borderId="0" xfId="0" applyFont="1" applyFill="1" applyBorder="1" applyAlignment="1">
      <alignment horizontal="left" vertical="center" wrapText="1"/>
    </xf>
    <xf numFmtId="0" fontId="5" fillId="34" borderId="11" xfId="0" applyFont="1" applyFill="1" applyBorder="1" applyAlignment="1">
      <alignment horizontal="center"/>
    </xf>
    <xf numFmtId="14" fontId="2" fillId="34" borderId="11" xfId="0" applyNumberFormat="1" applyFont="1" applyFill="1" applyBorder="1" applyAlignment="1" applyProtection="1">
      <alignment horizontal="center" vertical="center"/>
      <protection/>
    </xf>
    <xf numFmtId="0" fontId="5" fillId="0" borderId="11" xfId="0" applyFont="1" applyBorder="1" applyAlignment="1">
      <alignment horizontal="left" vertical="center" wrapText="1"/>
    </xf>
    <xf numFmtId="3" fontId="1" fillId="0" borderId="11" xfId="0" applyNumberFormat="1" applyFont="1" applyBorder="1" applyAlignment="1">
      <alignment horizontal="center" vertical="center"/>
    </xf>
    <xf numFmtId="2" fontId="5" fillId="0" borderId="11" xfId="0" applyNumberFormat="1" applyFont="1" applyBorder="1" applyAlignment="1">
      <alignment horizontal="center" vertical="center"/>
    </xf>
    <xf numFmtId="0" fontId="1" fillId="34" borderId="11" xfId="0" applyFont="1" applyFill="1" applyBorder="1" applyAlignment="1">
      <alignment horizontal="left" vertical="center" wrapText="1"/>
    </xf>
    <xf numFmtId="2" fontId="1" fillId="0" borderId="11" xfId="0" applyNumberFormat="1" applyFont="1" applyBorder="1" applyAlignment="1">
      <alignment horizontal="center" vertical="center"/>
    </xf>
    <xf numFmtId="0" fontId="1" fillId="0" borderId="21" xfId="0" applyFont="1" applyFill="1" applyBorder="1" applyAlignment="1">
      <alignment horizontal="left" vertical="center" wrapText="1"/>
    </xf>
    <xf numFmtId="3" fontId="1" fillId="0" borderId="11" xfId="0" applyNumberFormat="1" applyFont="1" applyBorder="1" applyAlignment="1">
      <alignment horizontal="center" wrapText="1"/>
    </xf>
    <xf numFmtId="3" fontId="1" fillId="35" borderId="11" xfId="0" applyNumberFormat="1" applyFont="1" applyFill="1" applyBorder="1" applyAlignment="1">
      <alignment horizontal="center" wrapText="1"/>
    </xf>
    <xf numFmtId="3" fontId="5" fillId="0" borderId="11" xfId="0" applyNumberFormat="1" applyFont="1" applyBorder="1" applyAlignment="1">
      <alignment horizontal="center" wrapText="1"/>
    </xf>
    <xf numFmtId="0" fontId="45" fillId="0" borderId="0" xfId="0" applyFont="1" applyAlignment="1">
      <alignment horizontal="center"/>
    </xf>
    <xf numFmtId="172" fontId="45" fillId="0" borderId="21" xfId="0" applyNumberFormat="1" applyFont="1" applyFill="1" applyBorder="1" applyAlignment="1" applyProtection="1">
      <alignment horizontal="center" vertical="top"/>
      <protection locked="0"/>
    </xf>
    <xf numFmtId="49" fontId="11" fillId="0" borderId="0" xfId="0" applyNumberFormat="1" applyFont="1" applyAlignment="1">
      <alignment horizontal="left"/>
    </xf>
    <xf numFmtId="49" fontId="32" fillId="0" borderId="0" xfId="0" applyNumberFormat="1" applyFont="1" applyAlignment="1">
      <alignment horizontal="left"/>
    </xf>
    <xf numFmtId="49" fontId="32" fillId="0" borderId="0" xfId="0" applyNumberFormat="1" applyFont="1" applyAlignment="1">
      <alignment/>
    </xf>
    <xf numFmtId="49" fontId="30" fillId="0" borderId="0" xfId="0" applyNumberFormat="1" applyFont="1" applyAlignment="1">
      <alignment/>
    </xf>
    <xf numFmtId="3" fontId="1" fillId="0" borderId="11" xfId="0" applyNumberFormat="1" applyFont="1" applyFill="1" applyBorder="1" applyAlignment="1" applyProtection="1">
      <alignment horizontal="center" vertical="center"/>
      <protection locked="0"/>
    </xf>
    <xf numFmtId="3" fontId="1" fillId="0" borderId="11" xfId="0" applyNumberFormat="1" applyFont="1" applyBorder="1" applyAlignment="1">
      <alignment horizontal="center" vertical="center"/>
    </xf>
    <xf numFmtId="0" fontId="1" fillId="0" borderId="15" xfId="0" applyFont="1" applyFill="1" applyBorder="1" applyAlignment="1">
      <alignment vertical="center" wrapText="1"/>
    </xf>
    <xf numFmtId="3" fontId="1" fillId="0" borderId="11" xfId="0" applyNumberFormat="1" applyFont="1" applyFill="1" applyBorder="1" applyAlignment="1">
      <alignment horizontal="center" vertical="center"/>
    </xf>
    <xf numFmtId="0" fontId="1" fillId="36" borderId="11" xfId="0" applyFont="1" applyFill="1" applyBorder="1" applyAlignment="1">
      <alignment horizontal="center" vertical="center" wrapText="1"/>
    </xf>
    <xf numFmtId="0" fontId="1" fillId="40" borderId="0" xfId="0" applyFont="1" applyFill="1" applyAlignment="1">
      <alignment/>
    </xf>
    <xf numFmtId="0" fontId="1" fillId="0" borderId="11" xfId="0" applyFont="1" applyBorder="1" applyAlignment="1">
      <alignment vertical="justify" wrapText="1"/>
    </xf>
    <xf numFmtId="0" fontId="1" fillId="40" borderId="15" xfId="0" applyFont="1" applyFill="1" applyBorder="1" applyAlignment="1">
      <alignment wrapText="1"/>
    </xf>
    <xf numFmtId="0" fontId="1" fillId="40" borderId="16" xfId="0" applyFont="1" applyFill="1" applyBorder="1" applyAlignment="1">
      <alignment horizontal="center" vertical="center"/>
    </xf>
    <xf numFmtId="0" fontId="1" fillId="40" borderId="12" xfId="0" applyFont="1" applyFill="1" applyBorder="1" applyAlignment="1">
      <alignment horizontal="center" vertical="center"/>
    </xf>
    <xf numFmtId="0" fontId="1" fillId="0" borderId="37" xfId="0" applyFont="1" applyBorder="1" applyAlignment="1">
      <alignment horizontal="left" vertical="center" wrapText="1"/>
    </xf>
    <xf numFmtId="0" fontId="1" fillId="0" borderId="39" xfId="0" applyFont="1" applyBorder="1" applyAlignment="1">
      <alignment horizontal="center" vertical="center" wrapText="1"/>
    </xf>
    <xf numFmtId="0" fontId="1" fillId="0" borderId="11" xfId="0" applyFont="1" applyBorder="1" applyAlignment="1">
      <alignment horizontal="center" vertical="center" wrapText="1"/>
    </xf>
    <xf numFmtId="0" fontId="1" fillId="34" borderId="11" xfId="0" applyFont="1" applyFill="1" applyBorder="1" applyAlignment="1">
      <alignment/>
    </xf>
    <xf numFmtId="0" fontId="1" fillId="0" borderId="11" xfId="0" applyFont="1" applyBorder="1" applyAlignment="1">
      <alignment horizontal="left" vertical="center" wrapText="1"/>
    </xf>
    <xf numFmtId="1" fontId="1" fillId="0" borderId="11" xfId="0" applyNumberFormat="1" applyFont="1" applyBorder="1" applyAlignment="1">
      <alignment horizontal="center" vertical="center"/>
    </xf>
    <xf numFmtId="0" fontId="1" fillId="0" borderId="11" xfId="0" applyFont="1" applyBorder="1" applyAlignment="1">
      <alignment horizontal="center" vertical="center"/>
    </xf>
    <xf numFmtId="178" fontId="1" fillId="0" borderId="11" xfId="0" applyNumberFormat="1" applyFont="1" applyBorder="1" applyAlignment="1">
      <alignment horizontal="center" vertical="center"/>
    </xf>
    <xf numFmtId="0" fontId="1" fillId="0" borderId="11" xfId="0" applyFont="1" applyFill="1" applyBorder="1" applyAlignment="1">
      <alignment horizontal="center" vertical="center" wrapText="1"/>
    </xf>
    <xf numFmtId="0" fontId="1" fillId="0" borderId="24" xfId="0" applyFont="1" applyFill="1" applyBorder="1" applyAlignment="1">
      <alignment/>
    </xf>
    <xf numFmtId="0" fontId="1" fillId="0" borderId="40"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11" xfId="0" applyFont="1" applyFill="1" applyBorder="1" applyAlignment="1">
      <alignment horizontal="left" vertical="center" wrapText="1"/>
    </xf>
    <xf numFmtId="172" fontId="5" fillId="0" borderId="11" xfId="0" applyNumberFormat="1" applyFont="1" applyFill="1" applyBorder="1" applyAlignment="1">
      <alignment horizontal="center"/>
    </xf>
    <xf numFmtId="187" fontId="46" fillId="0" borderId="28" xfId="0" applyNumberFormat="1" applyFont="1" applyBorder="1" applyAlignment="1">
      <alignment horizontal="center"/>
    </xf>
    <xf numFmtId="187" fontId="46" fillId="0" borderId="29" xfId="0" applyNumberFormat="1" applyFont="1" applyBorder="1" applyAlignment="1">
      <alignment horizontal="center"/>
    </xf>
    <xf numFmtId="187" fontId="46" fillId="0" borderId="10" xfId="0" applyNumberFormat="1" applyFont="1" applyBorder="1" applyAlignment="1">
      <alignment horizontal="center"/>
    </xf>
    <xf numFmtId="187" fontId="46" fillId="0" borderId="42" xfId="0" applyNumberFormat="1" applyFont="1" applyBorder="1" applyAlignment="1">
      <alignment horizontal="center"/>
    </xf>
    <xf numFmtId="187" fontId="46" fillId="0" borderId="11" xfId="0" applyNumberFormat="1" applyFont="1" applyBorder="1" applyAlignment="1">
      <alignment horizontal="center"/>
    </xf>
    <xf numFmtId="187" fontId="46" fillId="0" borderId="30" xfId="0" applyNumberFormat="1" applyFont="1" applyBorder="1" applyAlignment="1">
      <alignment horizontal="center"/>
    </xf>
    <xf numFmtId="187" fontId="46" fillId="0" borderId="21" xfId="0" applyNumberFormat="1" applyFont="1" applyBorder="1" applyAlignment="1">
      <alignment horizontal="center"/>
    </xf>
    <xf numFmtId="0" fontId="27" fillId="0" borderId="0" xfId="0" applyFont="1" applyAlignment="1">
      <alignment/>
    </xf>
    <xf numFmtId="0" fontId="47" fillId="0" borderId="0" xfId="0" applyFont="1" applyBorder="1" applyAlignment="1">
      <alignment/>
    </xf>
    <xf numFmtId="0" fontId="47" fillId="0" borderId="0" xfId="0" applyFont="1" applyBorder="1" applyAlignment="1">
      <alignment horizontal="center"/>
    </xf>
    <xf numFmtId="172" fontId="47" fillId="0" borderId="0" xfId="0" applyNumberFormat="1" applyFont="1" applyBorder="1" applyAlignment="1">
      <alignment horizontal="center"/>
    </xf>
    <xf numFmtId="0" fontId="47" fillId="0" borderId="0" xfId="0" applyFont="1" applyFill="1" applyBorder="1" applyAlignment="1">
      <alignment/>
    </xf>
    <xf numFmtId="0" fontId="4" fillId="0" borderId="0" xfId="0" applyFont="1" applyFill="1" applyBorder="1" applyAlignment="1">
      <alignment horizontal="left"/>
    </xf>
    <xf numFmtId="0" fontId="4" fillId="0" borderId="0" xfId="0" applyFont="1" applyFill="1" applyBorder="1" applyAlignment="1">
      <alignment horizontal="center"/>
    </xf>
    <xf numFmtId="49" fontId="3" fillId="0" borderId="12" xfId="0" applyNumberFormat="1" applyFont="1" applyFill="1" applyBorder="1" applyAlignment="1">
      <alignment horizontal="center" wrapText="1"/>
    </xf>
    <xf numFmtId="49" fontId="3" fillId="0" borderId="11"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0" fontId="2" fillId="0" borderId="15" xfId="0" applyFont="1" applyFill="1" applyBorder="1" applyAlignment="1">
      <alignment vertical="top"/>
    </xf>
    <xf numFmtId="0" fontId="2" fillId="0" borderId="16" xfId="0" applyFont="1" applyFill="1" applyBorder="1" applyAlignment="1">
      <alignment vertical="top"/>
    </xf>
    <xf numFmtId="0" fontId="3" fillId="0" borderId="12" xfId="0" applyFont="1" applyFill="1" applyBorder="1" applyAlignment="1">
      <alignment horizontal="center" vertical="top"/>
    </xf>
    <xf numFmtId="4" fontId="3" fillId="0" borderId="11"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41" borderId="0" xfId="0" applyFill="1" applyAlignment="1">
      <alignment horizontal="center" vertical="center" wrapText="1"/>
    </xf>
    <xf numFmtId="0" fontId="0" fillId="0" borderId="0" xfId="0" applyFill="1" applyBorder="1" applyAlignment="1">
      <alignment horizontal="center" vertical="center"/>
    </xf>
    <xf numFmtId="172" fontId="1" fillId="0" borderId="11"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Fill="1" applyBorder="1" applyAlignment="1">
      <alignment vertical="top" wrapText="1"/>
    </xf>
    <xf numFmtId="0" fontId="5" fillId="0" borderId="43" xfId="0" applyFont="1" applyBorder="1" applyAlignment="1">
      <alignment vertical="top" wrapText="1"/>
    </xf>
    <xf numFmtId="0" fontId="5" fillId="0" borderId="44" xfId="0" applyFont="1" applyBorder="1" applyAlignment="1">
      <alignment vertical="top" wrapText="1"/>
    </xf>
    <xf numFmtId="0" fontId="5" fillId="0" borderId="44" xfId="0" applyFont="1" applyFill="1" applyBorder="1" applyAlignment="1">
      <alignment vertical="top" wrapText="1"/>
    </xf>
    <xf numFmtId="0" fontId="5" fillId="0" borderId="45" xfId="0" applyFont="1" applyFill="1" applyBorder="1" applyAlignment="1">
      <alignment vertical="top" wrapText="1"/>
    </xf>
    <xf numFmtId="0" fontId="5" fillId="0" borderId="11" xfId="0" applyFont="1" applyBorder="1" applyAlignment="1">
      <alignment horizontal="center" vertical="center" wrapText="1"/>
    </xf>
    <xf numFmtId="0" fontId="1" fillId="0" borderId="18" xfId="0" applyFont="1" applyBorder="1" applyAlignment="1">
      <alignment vertical="top" wrapText="1"/>
    </xf>
    <xf numFmtId="0" fontId="1" fillId="0" borderId="15" xfId="0" applyFont="1" applyBorder="1" applyAlignment="1">
      <alignment vertical="top" wrapText="1"/>
    </xf>
    <xf numFmtId="0" fontId="5" fillId="0" borderId="15" xfId="0" applyFont="1" applyBorder="1" applyAlignment="1">
      <alignment vertical="top" wrapText="1"/>
    </xf>
    <xf numFmtId="0" fontId="5" fillId="34" borderId="11" xfId="0" applyFont="1" applyFill="1" applyBorder="1" applyAlignment="1">
      <alignment horizontal="center" vertical="center"/>
    </xf>
    <xf numFmtId="0" fontId="2" fillId="0" borderId="11" xfId="0" applyFont="1" applyFill="1" applyBorder="1" applyAlignment="1">
      <alignment vertical="top" wrapText="1"/>
    </xf>
    <xf numFmtId="0" fontId="5" fillId="0" borderId="0" xfId="0" applyFont="1" applyAlignment="1">
      <alignment/>
    </xf>
    <xf numFmtId="0" fontId="5" fillId="34" borderId="11" xfId="0" applyFont="1" applyFill="1" applyBorder="1" applyAlignment="1">
      <alignment horizontal="center" vertical="center" wrapText="1"/>
    </xf>
    <xf numFmtId="14" fontId="5" fillId="34" borderId="11" xfId="0" applyNumberFormat="1" applyFont="1" applyFill="1" applyBorder="1" applyAlignment="1">
      <alignment horizontal="center" vertical="center" wrapText="1"/>
    </xf>
    <xf numFmtId="172" fontId="0" fillId="0" borderId="0" xfId="0" applyNumberFormat="1" applyAlignment="1">
      <alignment/>
    </xf>
    <xf numFmtId="0" fontId="0" fillId="0" borderId="0" xfId="0" applyBorder="1" applyAlignment="1">
      <alignment horizontal="center" wrapText="1"/>
    </xf>
    <xf numFmtId="172" fontId="0" fillId="0" borderId="0" xfId="0" applyNumberFormat="1" applyBorder="1" applyAlignment="1">
      <alignment horizontal="center"/>
    </xf>
    <xf numFmtId="172" fontId="0" fillId="0" borderId="11" xfId="0" applyNumberFormat="1" applyBorder="1" applyAlignment="1">
      <alignment horizontal="center" vertical="center"/>
    </xf>
    <xf numFmtId="0" fontId="5" fillId="0" borderId="23" xfId="0" applyFont="1" applyBorder="1" applyAlignment="1">
      <alignment horizontal="center" vertical="center" wrapText="1"/>
    </xf>
    <xf numFmtId="187" fontId="0" fillId="0" borderId="0" xfId="0" applyNumberFormat="1" applyAlignment="1">
      <alignment/>
    </xf>
    <xf numFmtId="187" fontId="1" fillId="0" borderId="43" xfId="0" applyNumberFormat="1" applyFont="1" applyBorder="1" applyAlignment="1">
      <alignment horizontal="center" vertical="center"/>
    </xf>
    <xf numFmtId="187" fontId="0" fillId="0" borderId="43" xfId="0" applyNumberFormat="1" applyBorder="1" applyAlignment="1">
      <alignment/>
    </xf>
    <xf numFmtId="187" fontId="1" fillId="0" borderId="44" xfId="0" applyNumberFormat="1" applyFont="1" applyBorder="1" applyAlignment="1">
      <alignment horizontal="center" vertical="center"/>
    </xf>
    <xf numFmtId="187" fontId="0" fillId="0" borderId="44" xfId="0" applyNumberFormat="1" applyBorder="1" applyAlignment="1">
      <alignment/>
    </xf>
    <xf numFmtId="187" fontId="0" fillId="0" borderId="44" xfId="0" applyNumberFormat="1" applyBorder="1" applyAlignment="1">
      <alignment horizontal="right"/>
    </xf>
    <xf numFmtId="187" fontId="1" fillId="0" borderId="45" xfId="0" applyNumberFormat="1" applyFont="1" applyBorder="1" applyAlignment="1">
      <alignment horizontal="center" vertical="center"/>
    </xf>
    <xf numFmtId="187" fontId="1" fillId="0" borderId="46" xfId="0" applyNumberFormat="1" applyFont="1" applyBorder="1" applyAlignment="1">
      <alignment horizontal="center" vertical="center"/>
    </xf>
    <xf numFmtId="187" fontId="1" fillId="0" borderId="10" xfId="0" applyNumberFormat="1" applyFont="1" applyBorder="1" applyAlignment="1">
      <alignment horizontal="center" vertical="center"/>
    </xf>
    <xf numFmtId="187" fontId="0" fillId="0" borderId="45" xfId="0" applyNumberFormat="1" applyBorder="1" applyAlignment="1">
      <alignment/>
    </xf>
    <xf numFmtId="0" fontId="0" fillId="0" borderId="34" xfId="0" applyBorder="1" applyAlignment="1">
      <alignment horizontal="center"/>
    </xf>
    <xf numFmtId="0" fontId="0" fillId="0" borderId="37" xfId="0" applyBorder="1" applyAlignment="1">
      <alignment/>
    </xf>
    <xf numFmtId="189" fontId="0" fillId="0" borderId="37" xfId="0" applyNumberFormat="1" applyBorder="1" applyAlignment="1">
      <alignment/>
    </xf>
    <xf numFmtId="0" fontId="0" fillId="0" borderId="47" xfId="0" applyBorder="1" applyAlignment="1">
      <alignment/>
    </xf>
    <xf numFmtId="189" fontId="0" fillId="0" borderId="47" xfId="0" applyNumberFormat="1" applyBorder="1" applyAlignment="1">
      <alignment/>
    </xf>
    <xf numFmtId="0" fontId="0" fillId="0" borderId="48" xfId="0" applyBorder="1" applyAlignment="1">
      <alignment/>
    </xf>
    <xf numFmtId="189" fontId="0" fillId="0" borderId="48" xfId="0" applyNumberFormat="1" applyBorder="1" applyAlignment="1">
      <alignment/>
    </xf>
    <xf numFmtId="0" fontId="3" fillId="0" borderId="11" xfId="0" applyFont="1" applyBorder="1" applyAlignment="1">
      <alignment vertical="center" wrapText="1" readingOrder="1"/>
    </xf>
    <xf numFmtId="0" fontId="3" fillId="0" borderId="11" xfId="0" applyFont="1" applyFill="1" applyBorder="1" applyAlignment="1">
      <alignment vertical="center" wrapText="1" readingOrder="1"/>
    </xf>
    <xf numFmtId="0" fontId="3" fillId="0" borderId="11" xfId="0" applyFont="1" applyFill="1" applyBorder="1" applyAlignment="1">
      <alignment/>
    </xf>
    <xf numFmtId="0" fontId="3" fillId="0" borderId="11" xfId="0" applyFont="1" applyBorder="1" applyAlignment="1">
      <alignment vertical="center" readingOrder="1"/>
    </xf>
    <xf numFmtId="1" fontId="3" fillId="0" borderId="11" xfId="0" applyNumberFormat="1" applyFont="1" applyBorder="1" applyAlignment="1">
      <alignment horizontal="center" vertical="center"/>
    </xf>
    <xf numFmtId="181" fontId="3" fillId="0" borderId="11" xfId="0" applyNumberFormat="1" applyFont="1" applyBorder="1" applyAlignment="1">
      <alignment/>
    </xf>
    <xf numFmtId="0" fontId="2" fillId="35" borderId="11" xfId="0" applyFont="1" applyFill="1" applyBorder="1" applyAlignment="1">
      <alignment horizontal="center" vertical="center"/>
    </xf>
    <xf numFmtId="0" fontId="3" fillId="35" borderId="11" xfId="0" applyFont="1" applyFill="1" applyBorder="1" applyAlignment="1">
      <alignment horizontal="center" vertical="center"/>
    </xf>
    <xf numFmtId="0" fontId="13" fillId="0" borderId="0" xfId="0" applyFont="1" applyAlignment="1">
      <alignment horizontal="center" vertical="center"/>
    </xf>
    <xf numFmtId="0" fontId="3" fillId="0" borderId="0" xfId="0" applyFont="1" applyAlignment="1">
      <alignment horizontal="center" vertical="center" wrapText="1"/>
    </xf>
    <xf numFmtId="187" fontId="13" fillId="0" borderId="0" xfId="0" applyNumberFormat="1" applyFont="1" applyAlignment="1">
      <alignment/>
    </xf>
    <xf numFmtId="172" fontId="13" fillId="0" borderId="11" xfId="0" applyNumberFormat="1" applyFont="1" applyFill="1" applyBorder="1" applyAlignment="1" applyProtection="1">
      <alignment horizontal="center" vertical="top"/>
      <protection/>
    </xf>
    <xf numFmtId="187" fontId="10" fillId="0" borderId="0" xfId="0" applyNumberFormat="1" applyFont="1" applyAlignment="1">
      <alignment/>
    </xf>
    <xf numFmtId="0" fontId="13" fillId="0" borderId="0" xfId="0" applyFont="1" applyBorder="1" applyAlignment="1">
      <alignment/>
    </xf>
    <xf numFmtId="0" fontId="3" fillId="42" borderId="11" xfId="0" applyFont="1" applyFill="1" applyBorder="1" applyAlignment="1">
      <alignment/>
    </xf>
    <xf numFmtId="0" fontId="14" fillId="33" borderId="15" xfId="0" applyNumberFormat="1" applyFont="1" applyFill="1" applyBorder="1" applyAlignment="1" applyProtection="1">
      <alignment horizontal="center" vertical="top"/>
      <protection/>
    </xf>
    <xf numFmtId="0" fontId="14" fillId="33" borderId="16" xfId="0" applyNumberFormat="1" applyFont="1" applyFill="1" applyBorder="1" applyAlignment="1" applyProtection="1">
      <alignment horizontal="center" vertical="top"/>
      <protection/>
    </xf>
    <xf numFmtId="0" fontId="14" fillId="33" borderId="12" xfId="0" applyNumberFormat="1" applyFont="1" applyFill="1" applyBorder="1" applyAlignment="1" applyProtection="1">
      <alignment horizontal="center" vertical="top"/>
      <protection/>
    </xf>
    <xf numFmtId="0" fontId="21" fillId="33" borderId="15" xfId="0" applyNumberFormat="1" applyFont="1" applyFill="1" applyBorder="1" applyAlignment="1" applyProtection="1">
      <alignment horizontal="center" vertical="top"/>
      <protection/>
    </xf>
    <xf numFmtId="0" fontId="21" fillId="33" borderId="16" xfId="0" applyNumberFormat="1" applyFont="1" applyFill="1" applyBorder="1" applyAlignment="1" applyProtection="1">
      <alignment horizontal="center" vertical="top"/>
      <protection/>
    </xf>
    <xf numFmtId="0" fontId="21" fillId="33" borderId="12" xfId="0" applyNumberFormat="1" applyFont="1" applyFill="1" applyBorder="1" applyAlignment="1" applyProtection="1">
      <alignment horizontal="center" vertical="top"/>
      <protection/>
    </xf>
    <xf numFmtId="172" fontId="12" fillId="0" borderId="0" xfId="0" applyNumberFormat="1" applyFont="1" applyFill="1" applyBorder="1" applyAlignment="1" applyProtection="1">
      <alignment horizontal="center" vertical="top"/>
      <protection/>
    </xf>
    <xf numFmtId="172" fontId="12" fillId="33" borderId="15" xfId="0" applyNumberFormat="1" applyFont="1" applyFill="1" applyBorder="1" applyAlignment="1" applyProtection="1">
      <alignment horizontal="center" vertical="top"/>
      <protection/>
    </xf>
    <xf numFmtId="172" fontId="12" fillId="33" borderId="16" xfId="0" applyNumberFormat="1" applyFont="1" applyFill="1" applyBorder="1" applyAlignment="1" applyProtection="1">
      <alignment horizontal="center" vertical="top"/>
      <protection/>
    </xf>
    <xf numFmtId="172" fontId="12" fillId="33" borderId="12" xfId="0" applyNumberFormat="1" applyFont="1" applyFill="1" applyBorder="1" applyAlignment="1" applyProtection="1">
      <alignment horizontal="center" vertical="top"/>
      <protection/>
    </xf>
    <xf numFmtId="187" fontId="46" fillId="0" borderId="33" xfId="0" applyNumberFormat="1" applyFont="1" applyBorder="1" applyAlignment="1">
      <alignment horizontal="center"/>
    </xf>
    <xf numFmtId="187" fontId="46" fillId="0" borderId="42" xfId="0" applyNumberFormat="1" applyFont="1" applyBorder="1" applyAlignment="1">
      <alignment horizontal="center"/>
    </xf>
    <xf numFmtId="187" fontId="46" fillId="0" borderId="22" xfId="0" applyNumberFormat="1" applyFont="1" applyBorder="1" applyAlignment="1">
      <alignment horizontal="center"/>
    </xf>
    <xf numFmtId="187" fontId="46" fillId="0" borderId="49" xfId="0" applyNumberFormat="1" applyFont="1" applyBorder="1" applyAlignment="1">
      <alignment horizontal="center"/>
    </xf>
    <xf numFmtId="187" fontId="46" fillId="0" borderId="50" xfId="0" applyNumberFormat="1" applyFont="1" applyBorder="1" applyAlignment="1">
      <alignment horizontal="center"/>
    </xf>
    <xf numFmtId="187" fontId="46" fillId="0" borderId="21" xfId="0" applyNumberFormat="1" applyFont="1" applyBorder="1" applyAlignment="1">
      <alignment horizontal="center"/>
    </xf>
    <xf numFmtId="187" fontId="46" fillId="0" borderId="10" xfId="0" applyNumberFormat="1" applyFont="1" applyBorder="1" applyAlignment="1">
      <alignment horizontal="center"/>
    </xf>
    <xf numFmtId="187" fontId="46" fillId="0" borderId="51" xfId="0" applyNumberFormat="1" applyFont="1" applyBorder="1" applyAlignment="1">
      <alignment horizontal="center"/>
    </xf>
    <xf numFmtId="0" fontId="1" fillId="0" borderId="52" xfId="0" applyFont="1" applyBorder="1" applyAlignment="1">
      <alignment horizontal="center"/>
    </xf>
    <xf numFmtId="0" fontId="1" fillId="0" borderId="53" xfId="0" applyFont="1" applyBorder="1" applyAlignment="1">
      <alignment horizontal="center"/>
    </xf>
    <xf numFmtId="0" fontId="1" fillId="0" borderId="54" xfId="0" applyFont="1" applyBorder="1" applyAlignment="1">
      <alignment horizontal="center"/>
    </xf>
    <xf numFmtId="0" fontId="1" fillId="0" borderId="39" xfId="0" applyFont="1" applyBorder="1" applyAlignment="1">
      <alignment horizontal="center"/>
    </xf>
    <xf numFmtId="0" fontId="1" fillId="0" borderId="55" xfId="0" applyFont="1" applyBorder="1" applyAlignment="1">
      <alignment horizontal="center"/>
    </xf>
    <xf numFmtId="0" fontId="1" fillId="0" borderId="41" xfId="0" applyFont="1" applyBorder="1" applyAlignment="1">
      <alignment horizontal="center"/>
    </xf>
    <xf numFmtId="0" fontId="1" fillId="0" borderId="56" xfId="0" applyFont="1" applyBorder="1" applyAlignment="1">
      <alignment horizontal="center"/>
    </xf>
    <xf numFmtId="0" fontId="1" fillId="0" borderId="33" xfId="0" applyFont="1" applyBorder="1" applyAlignment="1">
      <alignment vertical="top" wrapText="1"/>
    </xf>
    <xf numFmtId="0" fontId="0" fillId="0" borderId="42" xfId="0" applyBorder="1" applyAlignment="1">
      <alignment vertical="top" wrapText="1"/>
    </xf>
    <xf numFmtId="0" fontId="52" fillId="33" borderId="15" xfId="0" applyFont="1" applyFill="1" applyBorder="1" applyAlignment="1">
      <alignment horizontal="center"/>
    </xf>
    <xf numFmtId="0" fontId="52" fillId="33" borderId="16" xfId="0" applyFont="1" applyFill="1" applyBorder="1" applyAlignment="1">
      <alignment horizontal="center"/>
    </xf>
    <xf numFmtId="0" fontId="52" fillId="33" borderId="12" xfId="0" applyFont="1" applyFill="1" applyBorder="1" applyAlignment="1">
      <alignment horizontal="center"/>
    </xf>
    <xf numFmtId="0" fontId="10" fillId="33" borderId="15" xfId="0" applyFont="1" applyFill="1" applyBorder="1" applyAlignment="1">
      <alignment horizontal="center"/>
    </xf>
    <xf numFmtId="0" fontId="10" fillId="33" borderId="12" xfId="0" applyFont="1" applyFill="1" applyBorder="1" applyAlignment="1">
      <alignment horizontal="center"/>
    </xf>
    <xf numFmtId="0" fontId="10" fillId="33" borderId="22" xfId="0" applyFont="1" applyFill="1" applyBorder="1" applyAlignment="1">
      <alignment horizontal="center"/>
    </xf>
    <xf numFmtId="0" fontId="10" fillId="33" borderId="10" xfId="0" applyFont="1" applyFill="1" applyBorder="1" applyAlignment="1">
      <alignment horizontal="center"/>
    </xf>
    <xf numFmtId="49" fontId="1" fillId="0" borderId="41" xfId="0" applyNumberFormat="1" applyFont="1" applyBorder="1" applyAlignment="1">
      <alignment horizontal="center"/>
    </xf>
    <xf numFmtId="49" fontId="1" fillId="0" borderId="56" xfId="0" applyNumberFormat="1" applyFont="1" applyBorder="1" applyAlignment="1">
      <alignment horizontal="center"/>
    </xf>
    <xf numFmtId="0" fontId="36" fillId="0" borderId="0" xfId="0" applyFont="1" applyAlignment="1">
      <alignment horizontal="left" wrapText="1"/>
    </xf>
    <xf numFmtId="1" fontId="33" fillId="0" borderId="22" xfId="0" applyNumberFormat="1" applyFont="1" applyBorder="1" applyAlignment="1">
      <alignment horizontal="center" vertical="center"/>
    </xf>
    <xf numFmtId="1" fontId="33" fillId="0" borderId="10" xfId="0" applyNumberFormat="1" applyFont="1" applyBorder="1" applyAlignment="1">
      <alignment horizontal="center" vertical="center"/>
    </xf>
    <xf numFmtId="2" fontId="33" fillId="0" borderId="22" xfId="0" applyNumberFormat="1" applyFont="1" applyBorder="1" applyAlignment="1">
      <alignment horizontal="center" vertical="center"/>
    </xf>
    <xf numFmtId="2" fontId="33" fillId="0" borderId="10" xfId="0" applyNumberFormat="1" applyFont="1" applyBorder="1" applyAlignment="1">
      <alignment horizontal="center" vertical="center"/>
    </xf>
    <xf numFmtId="1" fontId="33" fillId="0" borderId="11" xfId="0" applyNumberFormat="1" applyFont="1" applyBorder="1" applyAlignment="1">
      <alignment horizontal="center" vertical="center"/>
    </xf>
    <xf numFmtId="2" fontId="33" fillId="0" borderId="11" xfId="0" applyNumberFormat="1" applyFont="1" applyBorder="1" applyAlignment="1">
      <alignment horizontal="center" vertical="center"/>
    </xf>
    <xf numFmtId="4" fontId="33" fillId="0" borderId="22" xfId="0" applyNumberFormat="1" applyFont="1" applyBorder="1" applyAlignment="1">
      <alignment horizontal="center" vertical="center"/>
    </xf>
    <xf numFmtId="4" fontId="33" fillId="0" borderId="10" xfId="0" applyNumberFormat="1" applyFont="1" applyBorder="1" applyAlignment="1">
      <alignment horizontal="center" vertical="center"/>
    </xf>
    <xf numFmtId="4" fontId="33" fillId="0" borderId="11" xfId="0" applyNumberFormat="1" applyFont="1" applyBorder="1" applyAlignment="1">
      <alignment horizontal="center" vertical="center"/>
    </xf>
    <xf numFmtId="3" fontId="33" fillId="0" borderId="22" xfId="0" applyNumberFormat="1" applyFont="1" applyBorder="1" applyAlignment="1">
      <alignment horizontal="center" vertical="center"/>
    </xf>
    <xf numFmtId="3" fontId="33" fillId="0" borderId="10" xfId="0" applyNumberFormat="1" applyFont="1" applyBorder="1" applyAlignment="1">
      <alignment horizontal="center" vertical="center"/>
    </xf>
    <xf numFmtId="0" fontId="31" fillId="0" borderId="10" xfId="0" applyFont="1" applyBorder="1" applyAlignment="1">
      <alignment/>
    </xf>
    <xf numFmtId="3" fontId="31" fillId="0" borderId="22" xfId="0" applyNumberFormat="1" applyFont="1" applyBorder="1" applyAlignment="1">
      <alignment horizontal="center" vertical="center"/>
    </xf>
    <xf numFmtId="3" fontId="31" fillId="0" borderId="10" xfId="0" applyNumberFormat="1" applyFont="1" applyBorder="1" applyAlignment="1">
      <alignment horizontal="center" vertical="center"/>
    </xf>
    <xf numFmtId="3" fontId="33" fillId="0" borderId="11" xfId="0" applyNumberFormat="1" applyFont="1" applyBorder="1" applyAlignment="1">
      <alignment horizontal="center" vertical="center"/>
    </xf>
    <xf numFmtId="0" fontId="31" fillId="0" borderId="11" xfId="0" applyFont="1" applyBorder="1" applyAlignment="1">
      <alignment/>
    </xf>
    <xf numFmtId="0" fontId="36" fillId="0" borderId="0" xfId="0" applyFont="1" applyAlignment="1">
      <alignment vertical="top" wrapText="1"/>
    </xf>
    <xf numFmtId="0" fontId="36" fillId="0" borderId="0" xfId="0" applyFont="1" applyAlignment="1">
      <alignment horizontal="left" vertical="top" wrapText="1"/>
    </xf>
    <xf numFmtId="0" fontId="32" fillId="0" borderId="15" xfId="0" applyFont="1" applyBorder="1" applyAlignment="1">
      <alignment/>
    </xf>
    <xf numFmtId="0" fontId="32" fillId="0" borderId="16" xfId="0" applyFont="1" applyBorder="1" applyAlignment="1">
      <alignment/>
    </xf>
    <xf numFmtId="0" fontId="32" fillId="0" borderId="12" xfId="0" applyFont="1" applyBorder="1" applyAlignment="1">
      <alignment/>
    </xf>
    <xf numFmtId="0" fontId="32" fillId="0" borderId="15" xfId="0" applyFont="1" applyBorder="1" applyAlignment="1">
      <alignment vertical="center"/>
    </xf>
    <xf numFmtId="0" fontId="33" fillId="0" borderId="16" xfId="0" applyFont="1" applyBorder="1" applyAlignment="1">
      <alignment/>
    </xf>
    <xf numFmtId="0" fontId="33" fillId="0" borderId="12" xfId="0" applyFont="1" applyBorder="1" applyAlignment="1">
      <alignment/>
    </xf>
    <xf numFmtId="185" fontId="33" fillId="0" borderId="11" xfId="0" applyNumberFormat="1" applyFont="1" applyBorder="1" applyAlignment="1">
      <alignment horizontal="center" vertical="center"/>
    </xf>
    <xf numFmtId="0" fontId="32" fillId="0" borderId="11" xfId="0" applyFont="1" applyBorder="1" applyAlignment="1">
      <alignment horizontal="center" vertical="center" wrapText="1"/>
    </xf>
    <xf numFmtId="0" fontId="32" fillId="0" borderId="11" xfId="0" applyFont="1" applyBorder="1" applyAlignment="1">
      <alignment/>
    </xf>
    <xf numFmtId="0" fontId="32" fillId="0" borderId="15" xfId="0" applyFont="1" applyBorder="1" applyAlignment="1">
      <alignment horizontal="left"/>
    </xf>
    <xf numFmtId="0" fontId="30" fillId="0" borderId="15" xfId="0" applyFont="1" applyBorder="1" applyAlignment="1">
      <alignment vertical="center"/>
    </xf>
    <xf numFmtId="0" fontId="31" fillId="0" borderId="16" xfId="0" applyFont="1" applyBorder="1" applyAlignment="1">
      <alignment/>
    </xf>
    <xf numFmtId="0" fontId="31" fillId="0" borderId="12" xfId="0" applyFont="1" applyBorder="1" applyAlignment="1">
      <alignment/>
    </xf>
    <xf numFmtId="0" fontId="30" fillId="0" borderId="11" xfId="0" applyFont="1" applyBorder="1" applyAlignment="1">
      <alignment horizontal="center" vertical="center" wrapText="1"/>
    </xf>
    <xf numFmtId="0" fontId="30" fillId="0" borderId="11" xfId="0" applyFont="1" applyBorder="1" applyAlignment="1">
      <alignment/>
    </xf>
    <xf numFmtId="0" fontId="30" fillId="0" borderId="15" xfId="0" applyFont="1" applyBorder="1" applyAlignment="1">
      <alignment/>
    </xf>
    <xf numFmtId="0" fontId="30" fillId="0" borderId="16" xfId="0" applyFont="1" applyBorder="1" applyAlignment="1">
      <alignment/>
    </xf>
    <xf numFmtId="0" fontId="30" fillId="0" borderId="12" xfId="0" applyFont="1" applyBorder="1" applyAlignment="1">
      <alignment/>
    </xf>
    <xf numFmtId="0" fontId="30" fillId="0" borderId="15" xfId="0" applyFont="1" applyBorder="1" applyAlignment="1">
      <alignment horizontal="left"/>
    </xf>
    <xf numFmtId="0" fontId="2" fillId="33" borderId="22"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xf>
    <xf numFmtId="0" fontId="6" fillId="0" borderId="0" xfId="0" applyFont="1" applyAlignment="1">
      <alignment horizontal="left" wrapText="1"/>
    </xf>
    <xf numFmtId="0" fontId="6" fillId="0" borderId="0" xfId="0" applyFont="1" applyAlignment="1">
      <alignment horizontal="center"/>
    </xf>
    <xf numFmtId="0" fontId="1" fillId="34" borderId="25" xfId="0" applyFont="1" applyFill="1" applyBorder="1" applyAlignment="1">
      <alignment horizontal="center" wrapText="1"/>
    </xf>
    <xf numFmtId="0" fontId="1" fillId="34" borderId="57" xfId="0" applyFont="1" applyFill="1" applyBorder="1" applyAlignment="1">
      <alignment horizontal="center" wrapText="1"/>
    </xf>
    <xf numFmtId="0" fontId="1" fillId="34" borderId="58" xfId="0" applyFont="1" applyFill="1" applyBorder="1" applyAlignment="1">
      <alignment horizontal="center" wrapText="1"/>
    </xf>
    <xf numFmtId="0" fontId="1" fillId="34" borderId="25" xfId="0" applyFont="1" applyFill="1" applyBorder="1" applyAlignment="1">
      <alignment horizontal="center" vertical="center" wrapText="1"/>
    </xf>
    <xf numFmtId="0" fontId="1" fillId="34" borderId="57" xfId="0" applyFont="1" applyFill="1" applyBorder="1" applyAlignment="1">
      <alignment horizontal="center" vertical="center" wrapText="1"/>
    </xf>
    <xf numFmtId="0" fontId="1" fillId="34" borderId="58" xfId="0" applyFont="1" applyFill="1" applyBorder="1" applyAlignment="1">
      <alignment horizontal="center" vertical="center" wrapText="1"/>
    </xf>
    <xf numFmtId="0" fontId="1" fillId="34" borderId="56"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42" xfId="0" applyFont="1" applyFill="1" applyBorder="1" applyAlignment="1">
      <alignment horizontal="center" vertical="center" wrapText="1"/>
    </xf>
    <xf numFmtId="0" fontId="49" fillId="0" borderId="11" xfId="0" applyFont="1" applyFill="1" applyBorder="1" applyAlignment="1">
      <alignment horizontal="center" wrapText="1"/>
    </xf>
    <xf numFmtId="0" fontId="50" fillId="0" borderId="11" xfId="0" applyFont="1" applyFill="1" applyBorder="1" applyAlignment="1">
      <alignment horizontal="center" wrapText="1"/>
    </xf>
    <xf numFmtId="0" fontId="50" fillId="0" borderId="11" xfId="0" applyFont="1" applyFill="1" applyBorder="1" applyAlignment="1">
      <alignment wrapText="1"/>
    </xf>
    <xf numFmtId="0" fontId="5" fillId="38" borderId="11" xfId="0" applyFont="1" applyFill="1" applyBorder="1" applyAlignment="1">
      <alignment horizontal="center" vertical="center"/>
    </xf>
    <xf numFmtId="0" fontId="5" fillId="38" borderId="11" xfId="0" applyFont="1" applyFill="1" applyBorder="1" applyAlignment="1">
      <alignment horizontal="center" vertical="center" wrapText="1"/>
    </xf>
    <xf numFmtId="0" fontId="5" fillId="38" borderId="11" xfId="0" applyFont="1" applyFill="1" applyBorder="1" applyAlignment="1">
      <alignment horizontal="center" vertical="justify" wrapText="1"/>
    </xf>
    <xf numFmtId="0" fontId="5" fillId="38" borderId="15" xfId="0" applyFont="1" applyFill="1" applyBorder="1" applyAlignment="1">
      <alignment horizontal="center" vertical="justify" wrapText="1"/>
    </xf>
    <xf numFmtId="0" fontId="5" fillId="38" borderId="12" xfId="0" applyFont="1" applyFill="1" applyBorder="1" applyAlignment="1">
      <alignment horizontal="center" vertical="justify" wrapText="1"/>
    </xf>
    <xf numFmtId="0" fontId="2" fillId="0" borderId="15" xfId="0" applyFont="1" applyFill="1" applyBorder="1" applyAlignment="1">
      <alignment vertical="top"/>
    </xf>
    <xf numFmtId="0" fontId="2" fillId="0" borderId="16" xfId="0" applyFont="1" applyFill="1" applyBorder="1" applyAlignment="1">
      <alignment vertical="top"/>
    </xf>
    <xf numFmtId="0" fontId="2" fillId="0" borderId="12" xfId="0" applyFont="1" applyFill="1" applyBorder="1" applyAlignment="1">
      <alignment vertical="top"/>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5" xfId="0" applyFont="1" applyFill="1" applyBorder="1" applyAlignment="1">
      <alignment horizontal="left" vertical="top"/>
    </xf>
    <xf numFmtId="0" fontId="2" fillId="0" borderId="16" xfId="0" applyFont="1" applyFill="1" applyBorder="1" applyAlignment="1">
      <alignment horizontal="left" vertical="top"/>
    </xf>
    <xf numFmtId="0" fontId="2" fillId="0" borderId="12" xfId="0" applyFont="1" applyFill="1" applyBorder="1" applyAlignment="1">
      <alignment horizontal="left" vertical="top"/>
    </xf>
    <xf numFmtId="0" fontId="2" fillId="36" borderId="19" xfId="0" applyFont="1" applyFill="1" applyBorder="1" applyAlignment="1">
      <alignment horizontal="center" vertical="center"/>
    </xf>
    <xf numFmtId="0" fontId="48" fillId="36" borderId="17" xfId="0" applyFont="1" applyFill="1" applyBorder="1" applyAlignment="1">
      <alignment horizontal="center" vertical="center"/>
    </xf>
    <xf numFmtId="0" fontId="0" fillId="0" borderId="14" xfId="0" applyBorder="1" applyAlignment="1">
      <alignment horizontal="center" vertical="center"/>
    </xf>
    <xf numFmtId="0" fontId="48" fillId="36" borderId="20" xfId="0" applyFont="1" applyFill="1" applyBorder="1" applyAlignment="1">
      <alignment horizontal="center" vertical="center"/>
    </xf>
    <xf numFmtId="0" fontId="48" fillId="36" borderId="0" xfId="0" applyFont="1" applyFill="1" applyBorder="1" applyAlignment="1">
      <alignment horizontal="center" vertical="center"/>
    </xf>
    <xf numFmtId="0" fontId="0" fillId="0" borderId="59" xfId="0" applyBorder="1" applyAlignment="1">
      <alignment horizontal="center" vertical="center"/>
    </xf>
    <xf numFmtId="0" fontId="2" fillId="36" borderId="22" xfId="0" applyFont="1" applyFill="1" applyBorder="1" applyAlignment="1">
      <alignment horizontal="center" vertical="center"/>
    </xf>
    <xf numFmtId="0" fontId="3" fillId="36" borderId="10" xfId="0" applyFont="1" applyFill="1" applyBorder="1" applyAlignment="1">
      <alignment horizontal="center" vertical="center"/>
    </xf>
    <xf numFmtId="0" fontId="0" fillId="0" borderId="10" xfId="0" applyBorder="1" applyAlignment="1">
      <alignment horizontal="center" vertical="center"/>
    </xf>
    <xf numFmtId="0" fontId="2" fillId="0" borderId="15" xfId="0" applyFont="1" applyBorder="1" applyAlignment="1">
      <alignment horizontal="left" vertical="top" wrapText="1"/>
    </xf>
    <xf numFmtId="0" fontId="2" fillId="0" borderId="12" xfId="0" applyFont="1" applyBorder="1" applyAlignment="1">
      <alignment horizontal="left" vertical="top" wrapText="1"/>
    </xf>
    <xf numFmtId="4" fontId="3" fillId="0" borderId="11" xfId="0" applyNumberFormat="1" applyFont="1" applyBorder="1" applyAlignment="1">
      <alignment horizontal="center" vertical="center" wrapText="1"/>
    </xf>
    <xf numFmtId="0" fontId="2" fillId="0" borderId="16" xfId="0" applyFont="1" applyBorder="1" applyAlignment="1">
      <alignment horizontal="left" vertical="top" wrapText="1"/>
    </xf>
    <xf numFmtId="0" fontId="2" fillId="0" borderId="11" xfId="0" applyFont="1" applyBorder="1" applyAlignment="1">
      <alignment horizontal="left" vertical="top" wrapText="1"/>
    </xf>
    <xf numFmtId="0" fontId="3" fillId="0" borderId="11" xfId="0" applyFont="1" applyBorder="1" applyAlignment="1">
      <alignment horizontal="left" vertical="top" wrapText="1"/>
    </xf>
    <xf numFmtId="0" fontId="2" fillId="36" borderId="15"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0" fillId="0" borderId="16" xfId="0" applyBorder="1" applyAlignment="1">
      <alignment horizontal="left" vertical="top" wrapText="1"/>
    </xf>
    <xf numFmtId="0" fontId="0" fillId="0" borderId="12" xfId="0" applyBorder="1" applyAlignment="1">
      <alignment horizontal="left" vertical="top" wrapText="1"/>
    </xf>
    <xf numFmtId="0" fontId="5" fillId="0" borderId="11" xfId="0" applyFont="1" applyBorder="1" applyAlignment="1">
      <alignment horizontal="left" vertical="top" wrapText="1"/>
    </xf>
    <xf numFmtId="0" fontId="1" fillId="0" borderId="11" xfId="0" applyFont="1" applyBorder="1" applyAlignment="1">
      <alignment horizontal="left" vertical="top" wrapText="1"/>
    </xf>
    <xf numFmtId="0" fontId="1" fillId="0" borderId="0" xfId="0" applyFont="1" applyAlignment="1">
      <alignment horizontal="left"/>
    </xf>
    <xf numFmtId="0" fontId="2" fillId="0" borderId="19" xfId="0" applyFont="1" applyBorder="1" applyAlignment="1">
      <alignment horizontal="left" vertical="top" wrapText="1"/>
    </xf>
    <xf numFmtId="0" fontId="2" fillId="0" borderId="14" xfId="0" applyFont="1" applyBorder="1" applyAlignment="1">
      <alignment horizontal="left" vertical="top" wrapText="1"/>
    </xf>
    <xf numFmtId="14" fontId="5" fillId="36" borderId="11" xfId="0" applyNumberFormat="1" applyFont="1" applyFill="1" applyBorder="1" applyAlignment="1">
      <alignment horizontal="center" vertical="center"/>
    </xf>
    <xf numFmtId="0" fontId="5" fillId="36" borderId="11" xfId="0" applyFont="1" applyFill="1" applyBorder="1" applyAlignment="1">
      <alignment horizontal="center" vertical="center"/>
    </xf>
    <xf numFmtId="14" fontId="2" fillId="36" borderId="11" xfId="0" applyNumberFormat="1"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6" borderId="22" xfId="0" applyFont="1" applyFill="1" applyBorder="1" applyAlignment="1">
      <alignment horizontal="center" vertical="center" wrapText="1"/>
    </xf>
    <xf numFmtId="0" fontId="2" fillId="36" borderId="10" xfId="0" applyFont="1" applyFill="1" applyBorder="1" applyAlignment="1">
      <alignment horizontal="center" vertical="center" wrapText="1"/>
    </xf>
    <xf numFmtId="14" fontId="2" fillId="36" borderId="22" xfId="0" applyNumberFormat="1" applyFont="1" applyFill="1" applyBorder="1" applyAlignment="1">
      <alignment horizontal="center" vertical="center" wrapText="1"/>
    </xf>
    <xf numFmtId="0" fontId="5" fillId="36" borderId="11" xfId="0" applyFont="1" applyFill="1" applyBorder="1" applyAlignment="1">
      <alignment horizontal="center" vertical="center" wrapText="1"/>
    </xf>
    <xf numFmtId="0" fontId="3" fillId="0" borderId="0" xfId="0" applyFont="1" applyFill="1" applyBorder="1" applyAlignment="1">
      <alignment vertical="top" wrapText="1"/>
    </xf>
    <xf numFmtId="0" fontId="0" fillId="0" borderId="0" xfId="0" applyFont="1" applyAlignment="1">
      <alignment vertical="top" wrapText="1"/>
    </xf>
    <xf numFmtId="0" fontId="0" fillId="0" borderId="0" xfId="0" applyFont="1" applyAlignment="1">
      <alignment wrapText="1"/>
    </xf>
    <xf numFmtId="0" fontId="6" fillId="0" borderId="0" xfId="0" applyFont="1" applyAlignment="1">
      <alignment horizontal="left"/>
    </xf>
    <xf numFmtId="0" fontId="0" fillId="0" borderId="0" xfId="0" applyFont="1" applyAlignment="1">
      <alignment horizontal="left"/>
    </xf>
    <xf numFmtId="0" fontId="5" fillId="36" borderId="15" xfId="0" applyFont="1" applyFill="1" applyBorder="1" applyAlignment="1">
      <alignment horizontal="center" shrinkToFit="1"/>
    </xf>
    <xf numFmtId="0" fontId="5" fillId="36" borderId="16" xfId="0" applyFont="1" applyFill="1" applyBorder="1" applyAlignment="1">
      <alignment horizontal="center" shrinkToFit="1"/>
    </xf>
    <xf numFmtId="0" fontId="5" fillId="36" borderId="22" xfId="0" applyFont="1" applyFill="1" applyBorder="1" applyAlignment="1">
      <alignment horizontal="center" wrapText="1"/>
    </xf>
    <xf numFmtId="0" fontId="5" fillId="36" borderId="21" xfId="0" applyFont="1" applyFill="1" applyBorder="1" applyAlignment="1">
      <alignment horizontal="center" wrapText="1"/>
    </xf>
    <xf numFmtId="0" fontId="5" fillId="36" borderId="15" xfId="0" applyFont="1" applyFill="1" applyBorder="1" applyAlignment="1">
      <alignment horizontal="center"/>
    </xf>
    <xf numFmtId="0" fontId="5" fillId="36" borderId="16" xfId="0" applyFont="1" applyFill="1" applyBorder="1" applyAlignment="1">
      <alignment horizontal="center"/>
    </xf>
    <xf numFmtId="0" fontId="5" fillId="36" borderId="12" xfId="0" applyFont="1" applyFill="1" applyBorder="1" applyAlignment="1">
      <alignment/>
    </xf>
    <xf numFmtId="4" fontId="1" fillId="0" borderId="11" xfId="0" applyNumberFormat="1" applyFont="1" applyBorder="1" applyAlignment="1">
      <alignment horizontal="center"/>
    </xf>
    <xf numFmtId="0" fontId="2" fillId="0" borderId="11" xfId="0" applyFont="1" applyBorder="1" applyAlignment="1">
      <alignment horizontal="left" wrapText="1"/>
    </xf>
    <xf numFmtId="0" fontId="3" fillId="0" borderId="11" xfId="0" applyFont="1" applyBorder="1" applyAlignment="1">
      <alignment horizontal="left" wrapText="1"/>
    </xf>
    <xf numFmtId="0" fontId="2" fillId="0" borderId="11" xfId="0" applyFont="1" applyBorder="1" applyAlignment="1">
      <alignment horizontal="left" vertical="center"/>
    </xf>
    <xf numFmtId="0" fontId="3" fillId="0" borderId="11" xfId="0" applyFont="1" applyBorder="1" applyAlignment="1">
      <alignment horizontal="left" vertical="center"/>
    </xf>
    <xf numFmtId="0" fontId="2" fillId="0" borderId="11" xfId="0" applyFont="1" applyBorder="1" applyAlignment="1">
      <alignment horizontal="left"/>
    </xf>
    <xf numFmtId="0" fontId="3" fillId="0" borderId="11" xfId="0" applyFont="1" applyBorder="1" applyAlignment="1">
      <alignment horizontal="left"/>
    </xf>
    <xf numFmtId="0" fontId="2" fillId="0" borderId="15" xfId="0" applyFont="1" applyBorder="1" applyAlignment="1">
      <alignment horizontal="left" wrapText="1"/>
    </xf>
    <xf numFmtId="0" fontId="3" fillId="0" borderId="16" xfId="0" applyFont="1" applyBorder="1" applyAlignment="1">
      <alignment horizontal="left" wrapText="1"/>
    </xf>
    <xf numFmtId="0" fontId="3" fillId="0" borderId="12" xfId="0" applyFont="1" applyBorder="1" applyAlignment="1">
      <alignment horizontal="left" wrapText="1"/>
    </xf>
    <xf numFmtId="0" fontId="2" fillId="0" borderId="15" xfId="0" applyFont="1" applyBorder="1" applyAlignment="1">
      <alignment horizontal="left" vertical="center"/>
    </xf>
    <xf numFmtId="0" fontId="3" fillId="0" borderId="16" xfId="0" applyFont="1" applyBorder="1" applyAlignment="1">
      <alignment horizontal="left" vertical="center"/>
    </xf>
    <xf numFmtId="0" fontId="3" fillId="0" borderId="12" xfId="0" applyFont="1" applyBorder="1" applyAlignment="1">
      <alignment horizontal="left" vertical="center"/>
    </xf>
    <xf numFmtId="0" fontId="2"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left" vertical="center" wrapText="1"/>
    </xf>
    <xf numFmtId="0" fontId="44" fillId="0" borderId="0" xfId="0" applyFont="1" applyAlignment="1">
      <alignment horizontal="center"/>
    </xf>
    <xf numFmtId="0" fontId="2" fillId="35" borderId="11" xfId="0" applyFont="1" applyFill="1" applyBorder="1" applyAlignment="1">
      <alignment horizontal="center" vertical="center"/>
    </xf>
    <xf numFmtId="0" fontId="2" fillId="36" borderId="21" xfId="0" applyFont="1" applyFill="1" applyBorder="1" applyAlignment="1">
      <alignment horizontal="center" vertical="center" wrapText="1"/>
    </xf>
    <xf numFmtId="0" fontId="2" fillId="36" borderId="19"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18" xfId="0" applyFont="1" applyFill="1" applyBorder="1" applyAlignment="1">
      <alignment horizontal="center" vertical="center" wrapText="1"/>
    </xf>
    <xf numFmtId="0" fontId="2" fillId="36" borderId="23"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2" fillId="0" borderId="11" xfId="0" applyFont="1" applyBorder="1" applyAlignment="1">
      <alignment vertical="top" wrapText="1"/>
    </xf>
    <xf numFmtId="0" fontId="6" fillId="0" borderId="15" xfId="0" applyFont="1" applyBorder="1" applyAlignment="1">
      <alignment vertical="center" wrapText="1"/>
    </xf>
    <xf numFmtId="0" fontId="0" fillId="0" borderId="12" xfId="0" applyBorder="1" applyAlignment="1">
      <alignment vertical="center" wrapText="1"/>
    </xf>
    <xf numFmtId="178" fontId="0" fillId="0" borderId="15" xfId="0" applyNumberFormat="1" applyBorder="1" applyAlignment="1">
      <alignment horizontal="center" vertical="center"/>
    </xf>
    <xf numFmtId="178" fontId="0" fillId="0" borderId="12" xfId="0" applyNumberFormat="1" applyBorder="1" applyAlignment="1">
      <alignment horizontal="center" vertical="center"/>
    </xf>
    <xf numFmtId="0" fontId="0" fillId="0" borderId="12" xfId="0" applyBorder="1" applyAlignment="1">
      <alignment vertical="center"/>
    </xf>
    <xf numFmtId="0" fontId="0" fillId="0" borderId="16" xfId="0" applyBorder="1" applyAlignment="1">
      <alignment vertical="center" wrapText="1"/>
    </xf>
    <xf numFmtId="0" fontId="0" fillId="0" borderId="16" xfId="0" applyBorder="1" applyAlignment="1">
      <alignment/>
    </xf>
    <xf numFmtId="0" fontId="0" fillId="0" borderId="12" xfId="0" applyBorder="1" applyAlignment="1">
      <alignment/>
    </xf>
    <xf numFmtId="0" fontId="0" fillId="0" borderId="16" xfId="0" applyBorder="1" applyAlignment="1">
      <alignment vertical="center"/>
    </xf>
    <xf numFmtId="0" fontId="6" fillId="0" borderId="11" xfId="0" applyFont="1" applyBorder="1" applyAlignment="1">
      <alignment vertical="center" wrapText="1"/>
    </xf>
    <xf numFmtId="0" fontId="0" fillId="0" borderId="11" xfId="0" applyBorder="1" applyAlignment="1">
      <alignment vertical="center" wrapText="1"/>
    </xf>
    <xf numFmtId="178" fontId="0" fillId="0" borderId="16" xfId="0" applyNumberFormat="1" applyBorder="1" applyAlignment="1">
      <alignment horizontal="center" vertical="center"/>
    </xf>
    <xf numFmtId="2" fontId="0" fillId="0" borderId="15" xfId="0" applyNumberFormat="1"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6" fillId="0" borderId="11" xfId="0" applyFont="1" applyBorder="1" applyAlignment="1">
      <alignment horizontal="left" vertical="center" wrapText="1"/>
    </xf>
    <xf numFmtId="0" fontId="0" fillId="0" borderId="11" xfId="0" applyBorder="1" applyAlignment="1">
      <alignment horizontal="left" vertical="center" wrapText="1"/>
    </xf>
    <xf numFmtId="0" fontId="6"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horizontal="left" vertical="center"/>
    </xf>
    <xf numFmtId="0" fontId="1" fillId="0" borderId="11" xfId="0" applyFont="1" applyBorder="1" applyAlignment="1">
      <alignment wrapText="1"/>
    </xf>
    <xf numFmtId="0" fontId="5" fillId="36" borderId="15" xfId="0" applyFont="1" applyFill="1" applyBorder="1" applyAlignment="1">
      <alignment horizontal="left" vertical="center" wrapText="1"/>
    </xf>
    <xf numFmtId="0" fontId="5" fillId="36" borderId="16" xfId="0" applyFont="1" applyFill="1" applyBorder="1" applyAlignment="1">
      <alignment horizontal="left" vertical="center" wrapText="1"/>
    </xf>
    <xf numFmtId="0" fontId="5" fillId="36" borderId="12" xfId="0" applyFont="1" applyFill="1" applyBorder="1" applyAlignment="1">
      <alignment horizontal="left" vertical="center" wrapText="1"/>
    </xf>
    <xf numFmtId="0" fontId="6" fillId="0" borderId="23" xfId="0" applyFont="1" applyFill="1" applyBorder="1" applyAlignment="1">
      <alignment horizontal="left" wrapText="1"/>
    </xf>
    <xf numFmtId="0" fontId="0" fillId="0" borderId="23" xfId="0" applyFill="1" applyBorder="1" applyAlignment="1">
      <alignment horizontal="left"/>
    </xf>
    <xf numFmtId="2" fontId="1" fillId="0" borderId="11" xfId="0" applyNumberFormat="1" applyFont="1" applyBorder="1" applyAlignment="1">
      <alignment horizontal="center" vertical="center"/>
    </xf>
    <xf numFmtId="0" fontId="1" fillId="0" borderId="11" xfId="0" applyFont="1" applyBorder="1" applyAlignment="1">
      <alignment vertical="center" wrapText="1"/>
    </xf>
    <xf numFmtId="0" fontId="3" fillId="0" borderId="15" xfId="0" applyFont="1" applyBorder="1" applyAlignment="1">
      <alignment wrapText="1"/>
    </xf>
    <xf numFmtId="0" fontId="3" fillId="0" borderId="16" xfId="0" applyFont="1" applyBorder="1" applyAlignment="1">
      <alignment wrapText="1"/>
    </xf>
    <xf numFmtId="0" fontId="3" fillId="0" borderId="12" xfId="0" applyFont="1" applyBorder="1" applyAlignment="1">
      <alignment wrapText="1"/>
    </xf>
    <xf numFmtId="0" fontId="4" fillId="0" borderId="0" xfId="0" applyFont="1" applyAlignment="1">
      <alignment horizontal="left"/>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4" fillId="0" borderId="0" xfId="0" applyFont="1" applyFill="1" applyBorder="1" applyAlignment="1">
      <alignment horizontal="left"/>
    </xf>
    <xf numFmtId="0" fontId="4" fillId="0" borderId="23" xfId="0" applyFont="1" applyBorder="1" applyAlignment="1">
      <alignment horizontal="left" wrapText="1"/>
    </xf>
    <xf numFmtId="181" fontId="3" fillId="0" borderId="11" xfId="0" applyNumberFormat="1" applyFont="1" applyBorder="1" applyAlignment="1">
      <alignment horizontal="center" vertical="center"/>
    </xf>
    <xf numFmtId="178" fontId="3" fillId="0" borderId="11" xfId="0" applyNumberFormat="1" applyFont="1" applyBorder="1" applyAlignment="1">
      <alignment horizontal="center" vertical="center"/>
    </xf>
    <xf numFmtId="0" fontId="1" fillId="34" borderId="11" xfId="0" applyFont="1" applyFill="1" applyBorder="1" applyAlignment="1">
      <alignment horizontal="center" vertical="center" wrapText="1"/>
    </xf>
    <xf numFmtId="0" fontId="1" fillId="34" borderId="22" xfId="0" applyFont="1" applyFill="1" applyBorder="1" applyAlignment="1">
      <alignment horizontal="center" vertical="center" wrapText="1"/>
    </xf>
    <xf numFmtId="172" fontId="1" fillId="0" borderId="15" xfId="0" applyNumberFormat="1" applyFont="1" applyBorder="1" applyAlignment="1">
      <alignment horizontal="left"/>
    </xf>
    <xf numFmtId="172" fontId="1" fillId="0" borderId="16" xfId="0" applyNumberFormat="1" applyFont="1" applyBorder="1" applyAlignment="1">
      <alignment horizontal="left"/>
    </xf>
    <xf numFmtId="172" fontId="1" fillId="0" borderId="12" xfId="0" applyNumberFormat="1" applyFont="1" applyBorder="1" applyAlignment="1">
      <alignment horizontal="left"/>
    </xf>
    <xf numFmtId="176" fontId="1" fillId="0" borderId="15" xfId="0" applyNumberFormat="1" applyFont="1" applyBorder="1" applyAlignment="1">
      <alignment horizontal="left" wrapText="1"/>
    </xf>
    <xf numFmtId="176" fontId="1" fillId="0" borderId="16" xfId="0" applyNumberFormat="1" applyFont="1" applyBorder="1" applyAlignment="1">
      <alignment horizontal="left" wrapText="1"/>
    </xf>
    <xf numFmtId="176" fontId="1" fillId="0" borderId="12" xfId="0" applyNumberFormat="1" applyFont="1" applyBorder="1" applyAlignment="1">
      <alignment horizontal="left" wrapText="1"/>
    </xf>
    <xf numFmtId="0" fontId="42" fillId="0" borderId="15"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6" fillId="0" borderId="11" xfId="0" applyFont="1" applyBorder="1" applyAlignment="1">
      <alignment horizontal="center"/>
    </xf>
    <xf numFmtId="0" fontId="6" fillId="0" borderId="11" xfId="0" applyFont="1" applyFill="1" applyBorder="1" applyAlignment="1">
      <alignment horizontal="center"/>
    </xf>
    <xf numFmtId="0" fontId="42" fillId="0" borderId="12"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39" borderId="10" xfId="0" applyFont="1" applyFill="1" applyBorder="1" applyAlignment="1">
      <alignment horizontal="center" vertical="center" wrapText="1"/>
    </xf>
    <xf numFmtId="0" fontId="5" fillId="39" borderId="15" xfId="0" applyFont="1" applyFill="1" applyBorder="1" applyAlignment="1">
      <alignment horizontal="center" vertical="center" wrapText="1"/>
    </xf>
    <xf numFmtId="0" fontId="5" fillId="39" borderId="12" xfId="0" applyFont="1" applyFill="1" applyBorder="1" applyAlignment="1">
      <alignment horizontal="center" vertical="center" wrapText="1"/>
    </xf>
    <xf numFmtId="0" fontId="3" fillId="0" borderId="0" xfId="0" applyFont="1" applyAlignment="1">
      <alignment horizontal="center"/>
    </xf>
    <xf numFmtId="0" fontId="51" fillId="0" borderId="0" xfId="0" applyFont="1" applyAlignment="1">
      <alignment horizontal="center"/>
    </xf>
    <xf numFmtId="0" fontId="3" fillId="0" borderId="0" xfId="0" applyFont="1" applyAlignment="1">
      <alignment/>
    </xf>
    <xf numFmtId="0" fontId="51" fillId="0" borderId="0" xfId="0" applyFont="1" applyAlignment="1">
      <alignment horizontal="center" shrinkToFit="1"/>
    </xf>
    <xf numFmtId="0" fontId="3" fillId="0" borderId="0" xfId="0" applyFont="1" applyAlignment="1">
      <alignment shrinkToFi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chartsheet" Target="chartsheets/sheet1.xml" /><Relationship Id="rId15" Type="http://schemas.openxmlformats.org/officeDocument/2006/relationships/chartsheet" Target="chartsheets/sheet2.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worksheet" Target="worksheets/sheet23.xml" /><Relationship Id="rId26" Type="http://schemas.openxmlformats.org/officeDocument/2006/relationships/worksheet" Target="worksheets/sheet24.xml" /><Relationship Id="rId27" Type="http://schemas.openxmlformats.org/officeDocument/2006/relationships/worksheet" Target="worksheets/sheet25.xml" /><Relationship Id="rId28" Type="http://schemas.openxmlformats.org/officeDocument/2006/relationships/worksheet" Target="worksheets/sheet26.xml" /><Relationship Id="rId29" Type="http://schemas.openxmlformats.org/officeDocument/2006/relationships/worksheet" Target="worksheets/sheet27.xml" /><Relationship Id="rId30" Type="http://schemas.openxmlformats.org/officeDocument/2006/relationships/worksheet" Target="worksheets/sheet28.xml" /><Relationship Id="rId31" Type="http://schemas.openxmlformats.org/officeDocument/2006/relationships/worksheet" Target="worksheets/sheet29.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975"/>
          <c:w val="0.98975"/>
          <c:h val="0.98025"/>
        </c:manualLayout>
      </c:layout>
      <c:barChart>
        <c:barDir val="col"/>
        <c:grouping val="stacked"/>
        <c:varyColors val="0"/>
        <c:ser>
          <c:idx val="0"/>
          <c:order val="0"/>
          <c:tx>
            <c:strRef>
              <c:f>ДиагБал!$B$31</c:f>
              <c:strCache>
                <c:ptCount val="1"/>
                <c:pt idx="0">
                  <c:v>Группа 1</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ДиагБал!$C$30:$J$30</c:f>
              <c:strCache/>
            </c:strRef>
          </c:cat>
          <c:val>
            <c:numRef>
              <c:f>ДиагБал!$C$31:$J$31</c:f>
              <c:numCache/>
            </c:numRef>
          </c:val>
        </c:ser>
        <c:ser>
          <c:idx val="1"/>
          <c:order val="1"/>
          <c:tx>
            <c:strRef>
              <c:f>ДиагБал!$B$32</c:f>
              <c:strCache>
                <c:ptCount val="1"/>
                <c:pt idx="0">
                  <c:v>Группа 2</c:v>
                </c:pt>
              </c:strCache>
            </c:strRef>
          </c:tx>
          <c:spPr>
            <a:pattFill prst="pct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5">
                <a:fgClr>
                  <a:srgbClr val="000000"/>
                </a:fgClr>
                <a:bgClr>
                  <a:srgbClr val="FFFFFF"/>
                </a:bgClr>
              </a:pattFill>
              <a:ln w="12700">
                <a:solidFill>
                  <a:srgbClr val="000000"/>
                </a:solidFill>
              </a:ln>
            </c:spPr>
          </c:dPt>
          <c:dPt>
            <c:idx val="2"/>
            <c:invertIfNegative val="0"/>
            <c:spPr>
              <a:pattFill prst="pct5">
                <a:fgClr>
                  <a:srgbClr val="000000"/>
                </a:fgClr>
                <a:bgClr>
                  <a:srgbClr val="FFFFFF"/>
                </a:bgClr>
              </a:pattFill>
              <a:ln w="12700">
                <a:solidFill>
                  <a:srgbClr val="000000"/>
                </a:solidFill>
              </a:ln>
            </c:spPr>
          </c:dPt>
          <c:dPt>
            <c:idx val="4"/>
            <c:invertIfNegative val="0"/>
            <c:spPr>
              <a:pattFill prst="pct5">
                <a:fgClr>
                  <a:srgbClr val="000000"/>
                </a:fgClr>
                <a:bgClr>
                  <a:srgbClr val="FFFFFF"/>
                </a:bgClr>
              </a:pattFill>
              <a:ln w="12700">
                <a:solidFill>
                  <a:srgbClr val="000000"/>
                </a:solidFill>
              </a:ln>
            </c:spPr>
          </c:dPt>
          <c:cat>
            <c:strRef>
              <c:f>ДиагБал!$C$30:$J$30</c:f>
              <c:strCache/>
            </c:strRef>
          </c:cat>
          <c:val>
            <c:numRef>
              <c:f>ДиагБал!$C$32:$J$32</c:f>
              <c:numCache/>
            </c:numRef>
          </c:val>
        </c:ser>
        <c:ser>
          <c:idx val="2"/>
          <c:order val="2"/>
          <c:tx>
            <c:strRef>
              <c:f>ДиагБал!$B$33</c:f>
              <c:strCache>
                <c:ptCount val="1"/>
                <c:pt idx="0">
                  <c:v>Группа 3</c:v>
                </c:pt>
              </c:strCache>
            </c:strRef>
          </c:tx>
          <c:spPr>
            <a:pattFill prst="narHorz">
              <a:fgClr>
                <a:srgbClr val="C0C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ДиагБал!$C$30:$J$30</c:f>
              <c:strCache/>
            </c:strRef>
          </c:cat>
          <c:val>
            <c:numRef>
              <c:f>ДиагБал!$C$33:$J$33</c:f>
              <c:numCache/>
            </c:numRef>
          </c:val>
        </c:ser>
        <c:ser>
          <c:idx val="3"/>
          <c:order val="3"/>
          <c:tx>
            <c:strRef>
              <c:f>ДиагБал!$B$34</c:f>
              <c:strCache>
                <c:ptCount val="1"/>
                <c:pt idx="0">
                  <c:v>Группа 4</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ДиагБал!$C$30:$J$30</c:f>
              <c:strCache/>
            </c:strRef>
          </c:cat>
          <c:val>
            <c:numRef>
              <c:f>ДиагБал!$C$34:$J$34</c:f>
              <c:numCache/>
            </c:numRef>
          </c:val>
        </c:ser>
        <c:overlap val="100"/>
        <c:gapWidth val="120"/>
        <c:axId val="18331057"/>
        <c:axId val="30761786"/>
      </c:barChart>
      <c:catAx>
        <c:axId val="18331057"/>
        <c:scaling>
          <c:orientation val="minMax"/>
        </c:scaling>
        <c:axPos val="b"/>
        <c:delete val="0"/>
        <c:numFmt formatCode="General" sourceLinked="1"/>
        <c:majorTickMark val="out"/>
        <c:minorTickMark val="none"/>
        <c:tickLblPos val="nextTo"/>
        <c:spPr>
          <a:ln w="3175">
            <a:solidFill>
              <a:srgbClr val="000000"/>
            </a:solidFill>
          </a:ln>
        </c:spPr>
        <c:crossAx val="30761786"/>
        <c:crosses val="autoZero"/>
        <c:auto val="1"/>
        <c:lblOffset val="100"/>
        <c:tickLblSkip val="1"/>
        <c:noMultiLvlLbl val="0"/>
      </c:catAx>
      <c:valAx>
        <c:axId val="307617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331057"/>
        <c:crossesAt val="1"/>
        <c:crossBetween val="between"/>
        <c:dispUnits/>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Cyr"/>
                <a:ea typeface="Arial Cyr"/>
                <a:cs typeface="Arial Cyr"/>
              </a:rPr>
              <a:t>Анализ обеспеченности запасов источниками</a:t>
            </a:r>
          </a:p>
        </c:rich>
      </c:tx>
      <c:layout>
        <c:manualLayout>
          <c:xMode val="factor"/>
          <c:yMode val="factor"/>
          <c:x val="0.00625"/>
          <c:y val="0"/>
        </c:manualLayout>
      </c:layout>
      <c:spPr>
        <a:noFill/>
        <a:ln>
          <a:noFill/>
        </a:ln>
      </c:spPr>
    </c:title>
    <c:plotArea>
      <c:layout>
        <c:manualLayout>
          <c:xMode val="edge"/>
          <c:yMode val="edge"/>
          <c:x val="0.014"/>
          <c:y val="0.11875"/>
          <c:w val="0.6585"/>
          <c:h val="0.8575"/>
        </c:manualLayout>
      </c:layout>
      <c:barChart>
        <c:barDir val="col"/>
        <c:grouping val="clustered"/>
        <c:varyColors val="0"/>
        <c:ser>
          <c:idx val="0"/>
          <c:order val="0"/>
          <c:tx>
            <c:v>Собственные оборотные средства</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Платежеспособность!$E$4:$H$4</c:f>
              <c:strCache>
                <c:ptCount val="4"/>
                <c:pt idx="0">
                  <c:v>37257</c:v>
                </c:pt>
                <c:pt idx="1">
                  <c:v>37622</c:v>
                </c:pt>
                <c:pt idx="2">
                  <c:v>37987</c:v>
                </c:pt>
                <c:pt idx="3">
                  <c:v>38353</c:v>
                </c:pt>
              </c:strCache>
            </c:strRef>
          </c:cat>
          <c:val>
            <c:numRef>
              <c:f>Платежеспособность!$E$8:$H$8</c:f>
              <c:numCache>
                <c:ptCount val="4"/>
                <c:pt idx="0">
                  <c:v>21832</c:v>
                </c:pt>
                <c:pt idx="1">
                  <c:v>32161</c:v>
                </c:pt>
                <c:pt idx="2">
                  <c:v>37413</c:v>
                </c:pt>
                <c:pt idx="3">
                  <c:v>69512</c:v>
                </c:pt>
              </c:numCache>
            </c:numRef>
          </c:val>
        </c:ser>
        <c:ser>
          <c:idx val="1"/>
          <c:order val="1"/>
          <c:tx>
            <c:v>Долгосрочные источники формирования</c:v>
          </c:tx>
          <c:spPr>
            <a:pattFill prst="ltVert">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Платежеспособность!$E$4:$H$4</c:f>
              <c:strCache>
                <c:ptCount val="4"/>
                <c:pt idx="0">
                  <c:v>37257</c:v>
                </c:pt>
                <c:pt idx="1">
                  <c:v>37622</c:v>
                </c:pt>
                <c:pt idx="2">
                  <c:v>37987</c:v>
                </c:pt>
                <c:pt idx="3">
                  <c:v>38353</c:v>
                </c:pt>
              </c:strCache>
            </c:strRef>
          </c:cat>
          <c:val>
            <c:numRef>
              <c:f>Платежеспособность!$E$10:$H$10</c:f>
              <c:numCache>
                <c:ptCount val="4"/>
                <c:pt idx="0">
                  <c:v>27152</c:v>
                </c:pt>
                <c:pt idx="1">
                  <c:v>38739</c:v>
                </c:pt>
                <c:pt idx="2">
                  <c:v>50259</c:v>
                </c:pt>
                <c:pt idx="3">
                  <c:v>72037</c:v>
                </c:pt>
              </c:numCache>
            </c:numRef>
          </c:val>
        </c:ser>
        <c:ser>
          <c:idx val="2"/>
          <c:order val="2"/>
          <c:tx>
            <c:v>Общая величина источников</c:v>
          </c:tx>
          <c:spPr>
            <a:pattFill prst="wd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Платежеспособность!$E$4:$H$4</c:f>
              <c:strCache>
                <c:ptCount val="4"/>
                <c:pt idx="0">
                  <c:v>37257</c:v>
                </c:pt>
                <c:pt idx="1">
                  <c:v>37622</c:v>
                </c:pt>
                <c:pt idx="2">
                  <c:v>37987</c:v>
                </c:pt>
                <c:pt idx="3">
                  <c:v>38353</c:v>
                </c:pt>
              </c:strCache>
            </c:strRef>
          </c:cat>
          <c:val>
            <c:numRef>
              <c:f>Платежеспособность!$E$12:$H$12</c:f>
              <c:numCache>
                <c:ptCount val="4"/>
                <c:pt idx="0">
                  <c:v>27938</c:v>
                </c:pt>
                <c:pt idx="1">
                  <c:v>44637</c:v>
                </c:pt>
                <c:pt idx="2">
                  <c:v>75259</c:v>
                </c:pt>
                <c:pt idx="3">
                  <c:v>88364</c:v>
                </c:pt>
              </c:numCache>
            </c:numRef>
          </c:val>
        </c:ser>
        <c:ser>
          <c:idx val="3"/>
          <c:order val="3"/>
          <c:tx>
            <c:v>Запасы</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Платежеспособность!$E$4:$H$4</c:f>
              <c:strCache>
                <c:ptCount val="4"/>
                <c:pt idx="0">
                  <c:v>37257</c:v>
                </c:pt>
                <c:pt idx="1">
                  <c:v>37622</c:v>
                </c:pt>
                <c:pt idx="2">
                  <c:v>37987</c:v>
                </c:pt>
                <c:pt idx="3">
                  <c:v>38353</c:v>
                </c:pt>
              </c:strCache>
            </c:strRef>
          </c:cat>
          <c:val>
            <c:numRef>
              <c:f>Платежеспособность!$E$13:$H$13</c:f>
              <c:numCache>
                <c:ptCount val="4"/>
                <c:pt idx="0">
                  <c:v>43736</c:v>
                </c:pt>
                <c:pt idx="1">
                  <c:v>56084</c:v>
                </c:pt>
                <c:pt idx="2">
                  <c:v>71463</c:v>
                </c:pt>
                <c:pt idx="3">
                  <c:v>87624</c:v>
                </c:pt>
              </c:numCache>
            </c:numRef>
          </c:val>
        </c:ser>
        <c:axId val="8420619"/>
        <c:axId val="8676708"/>
      </c:barChart>
      <c:dateAx>
        <c:axId val="8420619"/>
        <c:scaling>
          <c:orientation val="minMax"/>
        </c:scaling>
        <c:axPos val="b"/>
        <c:title>
          <c:tx>
            <c:rich>
              <a:bodyPr vert="horz" rot="0" anchor="ctr"/>
              <a:lstStyle/>
              <a:p>
                <a:pPr algn="ctr">
                  <a:defRPr/>
                </a:pPr>
                <a:r>
                  <a:rPr lang="en-US" cap="none" sz="1200" b="1" i="0" u="none" baseline="0">
                    <a:solidFill>
                      <a:srgbClr val="000000"/>
                    </a:solidFill>
                    <a:latin typeface="Arial Cyr"/>
                    <a:ea typeface="Arial Cyr"/>
                    <a:cs typeface="Arial Cyr"/>
                  </a:rPr>
                  <a:t>Время</a:t>
                </a:r>
              </a:p>
            </c:rich>
          </c:tx>
          <c:layout>
            <c:manualLayout>
              <c:xMode val="factor"/>
              <c:yMode val="factor"/>
              <c:x val="0.0075"/>
              <c:y val="0.115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Cyr"/>
                <a:ea typeface="Arial Cyr"/>
                <a:cs typeface="Arial Cyr"/>
              </a:defRPr>
            </a:pPr>
          </a:p>
        </c:txPr>
        <c:crossAx val="8676708"/>
        <c:crosses val="autoZero"/>
        <c:auto val="0"/>
        <c:baseTimeUnit val="years"/>
        <c:majorUnit val="1"/>
        <c:majorTimeUnit val="years"/>
        <c:minorUnit val="1"/>
        <c:minorTimeUnit val="years"/>
        <c:noMultiLvlLbl val="0"/>
      </c:dateAx>
      <c:valAx>
        <c:axId val="8676708"/>
        <c:scaling>
          <c:orientation val="minMax"/>
        </c:scaling>
        <c:axPos val="l"/>
        <c:title>
          <c:tx>
            <c:rich>
              <a:bodyPr vert="horz" rot="-5400000" anchor="ctr"/>
              <a:lstStyle/>
              <a:p>
                <a:pPr algn="ctr">
                  <a:defRPr/>
                </a:pPr>
                <a:r>
                  <a:rPr lang="en-US" cap="none" sz="1200" b="1" i="0" u="none" baseline="0">
                    <a:solidFill>
                      <a:srgbClr val="000000"/>
                    </a:solidFill>
                    <a:latin typeface="Arial Cyr"/>
                    <a:ea typeface="Arial Cyr"/>
                    <a:cs typeface="Arial Cyr"/>
                  </a:rPr>
                  <a:t>Значения</a:t>
                </a:r>
              </a:p>
            </c:rich>
          </c:tx>
          <c:layout>
            <c:manualLayout>
              <c:xMode val="factor"/>
              <c:yMode val="factor"/>
              <c:x val="0.00325"/>
              <c:y val="0.106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420619"/>
        <c:crossesAt val="1"/>
        <c:crossBetween val="between"/>
        <c:dispUnits/>
      </c:valAx>
      <c:spPr>
        <a:solidFill>
          <a:srgbClr val="FFFFFF"/>
        </a:solidFill>
        <a:ln w="12700">
          <a:solidFill>
            <a:srgbClr val="FFFFFF"/>
          </a:solidFill>
        </a:ln>
      </c:spPr>
    </c:plotArea>
    <c:legend>
      <c:legendPos val="r"/>
      <c:layout>
        <c:manualLayout>
          <c:xMode val="edge"/>
          <c:yMode val="edge"/>
          <c:x val="0.7765"/>
          <c:y val="0.18075"/>
          <c:w val="0.20125"/>
          <c:h val="0.6897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Cyr"/>
              <a:ea typeface="Arial Cyr"/>
              <a:cs typeface="Arial Cyr"/>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Cyr"/>
                <a:ea typeface="Arial Cyr"/>
                <a:cs typeface="Arial Cyr"/>
              </a:rPr>
              <a:t>Показатели ликвидности</a:t>
            </a:r>
          </a:p>
        </c:rich>
      </c:tx>
      <c:layout>
        <c:manualLayout>
          <c:xMode val="factor"/>
          <c:yMode val="factor"/>
          <c:x val="0.00425"/>
          <c:y val="0"/>
        </c:manualLayout>
      </c:layout>
      <c:spPr>
        <a:noFill/>
        <a:ln>
          <a:noFill/>
        </a:ln>
      </c:spPr>
    </c:title>
    <c:plotArea>
      <c:layout>
        <c:manualLayout>
          <c:xMode val="edge"/>
          <c:yMode val="edge"/>
          <c:x val="0.015"/>
          <c:y val="0.1185"/>
          <c:w val="0.64525"/>
          <c:h val="0.8695"/>
        </c:manualLayout>
      </c:layout>
      <c:barChart>
        <c:barDir val="col"/>
        <c:grouping val="clustered"/>
        <c:varyColors val="0"/>
        <c:ser>
          <c:idx val="0"/>
          <c:order val="0"/>
          <c:tx>
            <c:v>Коэффициент абсолютной ликвидности</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Платежеспособность!$E$26:$H$27</c:f>
              <c:multiLvlStrCache>
                <c:ptCount val="4"/>
                <c:lvl>
                  <c:pt idx="0">
                    <c:v>01.01.2002</c:v>
                  </c:pt>
                  <c:pt idx="1">
                    <c:v>01.01.2003</c:v>
                  </c:pt>
                  <c:pt idx="2">
                    <c:v>01.01.2004</c:v>
                  </c:pt>
                  <c:pt idx="3">
                    <c:v>01.01.2005</c:v>
                  </c:pt>
                </c:lvl>
              </c:multiLvlStrCache>
            </c:multiLvlStrRef>
          </c:cat>
          <c:val>
            <c:numRef>
              <c:f>Платежеспособность!$E$37:$H$37</c:f>
              <c:numCache>
                <c:ptCount val="4"/>
                <c:pt idx="0">
                  <c:v>0.0249767503653514</c:v>
                </c:pt>
                <c:pt idx="1">
                  <c:v>0.006774149844194554</c:v>
                </c:pt>
                <c:pt idx="2">
                  <c:v>0.2122920850713219</c:v>
                </c:pt>
                <c:pt idx="3">
                  <c:v>0.01768966322886419</c:v>
                </c:pt>
              </c:numCache>
            </c:numRef>
          </c:val>
        </c:ser>
        <c:ser>
          <c:idx val="1"/>
          <c:order val="1"/>
          <c:tx>
            <c:v>Коэффициент текущей (быстрой) ликвидности</c:v>
          </c:tx>
          <c:spPr>
            <a:pattFill prst="narHorz">
              <a:fgClr>
                <a:srgbClr val="96969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Платежеспособность!$E$26:$H$27</c:f>
              <c:multiLvlStrCache>
                <c:ptCount val="4"/>
                <c:lvl>
                  <c:pt idx="0">
                    <c:v>01.01.2002</c:v>
                  </c:pt>
                  <c:pt idx="1">
                    <c:v>01.01.2003</c:v>
                  </c:pt>
                  <c:pt idx="2">
                    <c:v>01.01.2004</c:v>
                  </c:pt>
                  <c:pt idx="3">
                    <c:v>01.01.2005</c:v>
                  </c:pt>
                </c:lvl>
              </c:multiLvlStrCache>
            </c:multiLvlStrRef>
          </c:cat>
          <c:val>
            <c:numRef>
              <c:f>Платежеспособность!$E$38:$H$38</c:f>
              <c:numCache>
                <c:ptCount val="4"/>
                <c:pt idx="0">
                  <c:v>0.26557725521456094</c:v>
                </c:pt>
                <c:pt idx="1">
                  <c:v>0.41251185476222735</c:v>
                </c:pt>
                <c:pt idx="2">
                  <c:v>0.45403985787115714</c:v>
                </c:pt>
                <c:pt idx="3">
                  <c:v>0.47975701745602617</c:v>
                </c:pt>
              </c:numCache>
            </c:numRef>
          </c:val>
        </c:ser>
        <c:ser>
          <c:idx val="2"/>
          <c:order val="2"/>
          <c:tx>
            <c:v>Коэффициент покрытия</c:v>
          </c:tx>
          <c:spPr>
            <a:pattFill prst="pct80">
              <a:fgClr>
                <a:srgbClr val="FFFFFF"/>
              </a:fgClr>
              <a:bgClr>
                <a:srgbClr val="808080"/>
              </a:bgClr>
            </a:pattFill>
            <a:ln w="12700">
              <a:solidFill>
                <a:srgbClr val="C0C0C0"/>
              </a:solidFill>
            </a:ln>
          </c:spPr>
          <c:invertIfNegative val="0"/>
          <c:extLst>
            <c:ext xmlns:c14="http://schemas.microsoft.com/office/drawing/2007/8/2/chart" uri="{6F2FDCE9-48DA-4B69-8628-5D25D57E5C99}">
              <c14:invertSolidFillFmt>
                <c14:spPr>
                  <a:solidFill>
                    <a:srgbClr val="808080"/>
                  </a:solidFill>
                </c14:spPr>
              </c14:invertSolidFillFmt>
            </c:ext>
          </c:extLst>
          <c:cat>
            <c:multiLvlStrRef>
              <c:f>Платежеспособность!$E$26:$H$27</c:f>
              <c:multiLvlStrCache>
                <c:ptCount val="4"/>
                <c:lvl>
                  <c:pt idx="0">
                    <c:v>01.01.2002</c:v>
                  </c:pt>
                  <c:pt idx="1">
                    <c:v>01.01.2003</c:v>
                  </c:pt>
                  <c:pt idx="2">
                    <c:v>01.01.2004</c:v>
                  </c:pt>
                  <c:pt idx="3">
                    <c:v>01.01.2005</c:v>
                  </c:pt>
                </c:lvl>
              </c:multiLvlStrCache>
            </c:multiLvlStrRef>
          </c:cat>
          <c:val>
            <c:numRef>
              <c:f>Платежеспособность!$E$39:$H$39</c:f>
              <c:numCache>
                <c:ptCount val="4"/>
                <c:pt idx="0">
                  <c:v>2.2024268190071297</c:v>
                </c:pt>
                <c:pt idx="1">
                  <c:v>2.312118954071264</c:v>
                </c:pt>
                <c:pt idx="2">
                  <c:v>2.2940676656882433</c:v>
                </c:pt>
                <c:pt idx="3">
                  <c:v>3.4043590000333768</c:v>
                </c:pt>
              </c:numCache>
            </c:numRef>
          </c:val>
        </c:ser>
        <c:ser>
          <c:idx val="4"/>
          <c:order val="3"/>
          <c:tx>
            <c:v>Коэффициент обеспеченности собственными оборотными средствами</c:v>
          </c:tx>
          <c:spPr>
            <a:pattFill prst="dkVert">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Платежеспособность!$E$22:$H$22</c:f>
              <c:numCache>
                <c:ptCount val="4"/>
                <c:pt idx="0">
                  <c:v>0.4389841754971548</c:v>
                </c:pt>
                <c:pt idx="1">
                  <c:v>0.47113370347040123</c:v>
                </c:pt>
                <c:pt idx="2">
                  <c:v>0.4199131283881612</c:v>
                </c:pt>
                <c:pt idx="3">
                  <c:v>0.6815035588933116</c:v>
                </c:pt>
              </c:numCache>
            </c:numRef>
          </c:val>
        </c:ser>
        <c:axId val="10981509"/>
        <c:axId val="31724718"/>
      </c:barChart>
      <c:catAx>
        <c:axId val="1098150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Cyr"/>
                <a:ea typeface="Arial Cyr"/>
                <a:cs typeface="Arial Cyr"/>
              </a:defRPr>
            </a:pPr>
          </a:p>
        </c:txPr>
        <c:crossAx val="31724718"/>
        <c:crosses val="autoZero"/>
        <c:auto val="1"/>
        <c:lblOffset val="100"/>
        <c:tickLblSkip val="1"/>
        <c:noMultiLvlLbl val="0"/>
      </c:catAx>
      <c:valAx>
        <c:axId val="317247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Cyr"/>
                <a:ea typeface="Arial Cyr"/>
                <a:cs typeface="Arial Cyr"/>
              </a:defRPr>
            </a:pPr>
          </a:p>
        </c:txPr>
        <c:crossAx val="10981509"/>
        <c:crossesAt val="1"/>
        <c:crossBetween val="between"/>
        <c:dispUnits/>
      </c:valAx>
      <c:spPr>
        <a:solidFill>
          <a:srgbClr val="FFFFFF"/>
        </a:solidFill>
        <a:ln w="12700">
          <a:solidFill>
            <a:srgbClr val="000000"/>
          </a:solidFill>
        </a:ln>
      </c:spPr>
    </c:plotArea>
    <c:legend>
      <c:legendPos val="r"/>
      <c:layout>
        <c:manualLayout>
          <c:xMode val="edge"/>
          <c:yMode val="edge"/>
          <c:x val="0.66625"/>
          <c:y val="0.219"/>
          <c:w val="0.2235"/>
          <c:h val="0.574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Cyr"/>
              <a:ea typeface="Arial Cyr"/>
              <a:cs typeface="Arial Cyr"/>
            </a:defRPr>
          </a:pPr>
        </a:p>
      </c:txPr>
    </c:legend>
    <c:plotVisOnly val="1"/>
    <c:dispBlanksAs val="gap"/>
    <c:showDLblsOverMax val="0"/>
  </c:chart>
  <c:spPr>
    <a:noFill/>
    <a:ln>
      <a:noFill/>
    </a:ln>
  </c:spPr>
  <c:txPr>
    <a:bodyPr vert="horz" rot="0"/>
    <a:lstStyle/>
    <a:p>
      <a:pPr>
        <a:defRPr lang="en-US" cap="none" sz="950" b="0" i="0" u="none" baseline="0">
          <a:solidFill>
            <a:srgbClr val="000000"/>
          </a:solidFill>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Cyr"/>
                <a:ea typeface="Arial Cyr"/>
                <a:cs typeface="Arial Cyr"/>
              </a:rPr>
              <a:t>Деловая активность</a:t>
            </a:r>
          </a:p>
        </c:rich>
      </c:tx>
      <c:layout>
        <c:manualLayout>
          <c:xMode val="factor"/>
          <c:yMode val="factor"/>
          <c:x val="0"/>
          <c:y val="0"/>
        </c:manualLayout>
      </c:layout>
      <c:spPr>
        <a:noFill/>
        <a:ln>
          <a:noFill/>
        </a:ln>
      </c:spPr>
    </c:title>
    <c:plotArea>
      <c:layout>
        <c:manualLayout>
          <c:xMode val="edge"/>
          <c:yMode val="edge"/>
          <c:x val="0.018"/>
          <c:y val="0.10625"/>
          <c:w val="0.96425"/>
          <c:h val="0.6715"/>
        </c:manualLayout>
      </c:layout>
      <c:barChart>
        <c:barDir val="col"/>
        <c:grouping val="clustered"/>
        <c:varyColors val="0"/>
        <c:ser>
          <c:idx val="0"/>
          <c:order val="0"/>
          <c:tx>
            <c:v>Фондоотдача (ОС и НМА по первоначальной стоимости)</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Активность!$C$5:$E$5</c:f>
              <c:numCache/>
            </c:numRef>
          </c:cat>
          <c:val>
            <c:numRef>
              <c:f>Активность!$C$18:$E$18</c:f>
              <c:numCache/>
            </c:numRef>
          </c:val>
        </c:ser>
        <c:ser>
          <c:idx val="1"/>
          <c:order val="1"/>
          <c:tx>
            <c:v>Оборачиваемость оборотных активов</c:v>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Активность!$C$5:$E$5</c:f>
              <c:numCache/>
            </c:numRef>
          </c:cat>
          <c:val>
            <c:numRef>
              <c:f>Активность!$C$19:$E$19</c:f>
              <c:numCache/>
            </c:numRef>
          </c:val>
        </c:ser>
        <c:ser>
          <c:idx val="2"/>
          <c:order val="2"/>
          <c:tx>
            <c:v>Оборачиваемость готовой продукции и товаров (по сокр. себестоимости продаж)</c:v>
          </c:tx>
          <c:spPr>
            <a:pattFill prst="dk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Активность!$C$47:$E$47</c:f>
              <c:numCache/>
            </c:numRef>
          </c:val>
        </c:ser>
        <c:ser>
          <c:idx val="3"/>
          <c:order val="3"/>
          <c:tx>
            <c:v>Оборачиваемость материальных запасов (по сокр. себестоимости продаж)</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Активность!$C$48:$E$48</c:f>
              <c:numCache/>
            </c:numRef>
          </c:val>
        </c:ser>
        <c:axId val="17087007"/>
        <c:axId val="19565336"/>
      </c:barChart>
      <c:catAx>
        <c:axId val="17087007"/>
        <c:scaling>
          <c:orientation val="minMax"/>
        </c:scaling>
        <c:axPos val="b"/>
        <c:delete val="0"/>
        <c:numFmt formatCode="General" sourceLinked="1"/>
        <c:majorTickMark val="out"/>
        <c:minorTickMark val="none"/>
        <c:tickLblPos val="nextTo"/>
        <c:spPr>
          <a:ln w="3175">
            <a:solidFill>
              <a:srgbClr val="000000"/>
            </a:solidFill>
          </a:ln>
        </c:spPr>
        <c:crossAx val="19565336"/>
        <c:crosses val="autoZero"/>
        <c:auto val="1"/>
        <c:lblOffset val="100"/>
        <c:tickLblSkip val="1"/>
        <c:noMultiLvlLbl val="0"/>
      </c:catAx>
      <c:valAx>
        <c:axId val="195653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087007"/>
        <c:crossesAt val="1"/>
        <c:crossBetween val="between"/>
        <c:dispUnits/>
      </c:valAx>
      <c:spPr>
        <a:solidFill>
          <a:srgbClr val="FFFFFF"/>
        </a:solidFill>
        <a:ln w="12700">
          <a:solidFill>
            <a:srgbClr val="808080"/>
          </a:solidFill>
        </a:ln>
      </c:spPr>
    </c:plotArea>
    <c:legend>
      <c:legendPos val="b"/>
      <c:layout>
        <c:manualLayout>
          <c:xMode val="edge"/>
          <c:yMode val="edge"/>
          <c:x val="0"/>
          <c:y val="0.77875"/>
          <c:w val="0.9875"/>
          <c:h val="0.221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Cyr"/>
                <a:ea typeface="Arial Cyr"/>
                <a:cs typeface="Arial Cyr"/>
              </a:rPr>
              <a:t>Анализ движения денежных средств (прямой метод), тыс. руб</a:t>
            </a:r>
          </a:p>
        </c:rich>
      </c:tx>
      <c:layout>
        <c:manualLayout>
          <c:xMode val="factor"/>
          <c:yMode val="factor"/>
          <c:x val="0.001"/>
          <c:y val="0"/>
        </c:manualLayout>
      </c:layout>
      <c:spPr>
        <a:noFill/>
        <a:ln>
          <a:noFill/>
        </a:ln>
      </c:spPr>
    </c:title>
    <c:plotArea>
      <c:layout>
        <c:manualLayout>
          <c:xMode val="edge"/>
          <c:yMode val="edge"/>
          <c:x val="0"/>
          <c:y val="0.131"/>
          <c:w val="0.92575"/>
          <c:h val="0.869"/>
        </c:manualLayout>
      </c:layout>
      <c:barChart>
        <c:barDir val="col"/>
        <c:grouping val="stacked"/>
        <c:varyColors val="0"/>
        <c:ser>
          <c:idx val="5"/>
          <c:order val="0"/>
          <c:tx>
            <c:v>Выручка</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ДиаграммаДС!$B$25:$J$25</c:f>
              <c:strCache/>
            </c:strRef>
          </c:cat>
          <c:val>
            <c:numRef>
              <c:f>ДиаграммаДС!$B$26:$J$26</c:f>
              <c:numCache/>
            </c:numRef>
          </c:val>
        </c:ser>
        <c:ser>
          <c:idx val="0"/>
          <c:order val="1"/>
          <c:tx>
            <c:strRef>
              <c:f>ДиаграммаДС!$A$27</c:f>
              <c:strCache>
                <c:ptCount val="1"/>
                <c:pt idx="0">
                  <c:v>Движение денежных средств по текущей деятельности</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ДиаграммаДС!$B$27:$I$27</c:f>
              <c:numCache/>
            </c:numRef>
          </c:val>
        </c:ser>
        <c:ser>
          <c:idx val="1"/>
          <c:order val="2"/>
          <c:tx>
            <c:strRef>
              <c:f>ДиаграммаДС!$A$28</c:f>
              <c:strCache>
                <c:ptCount val="1"/>
                <c:pt idx="0">
                  <c:v>Движение денежных средств по инвестиционной деятельности (купля-продажа внеоборотных активов)</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ДиаграммаДС!$B$28:$I$28</c:f>
              <c:numCache/>
            </c:numRef>
          </c:val>
        </c:ser>
        <c:ser>
          <c:idx val="2"/>
          <c:order val="3"/>
          <c:tx>
            <c:strRef>
              <c:f>ДиаграммаДС!$A$29</c:f>
              <c:strCache>
                <c:ptCount val="1"/>
                <c:pt idx="0">
                  <c:v>Движение денежных средств по финансовой деятельности (выпуск акций, кредиты и займы)</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ДиаграммаДС!$B$29:$I$29</c:f>
              <c:numCache/>
            </c:numRef>
          </c:val>
        </c:ser>
        <c:ser>
          <c:idx val="3"/>
          <c:order val="4"/>
          <c:tx>
            <c:strRef>
              <c:f>ДиаграммаДС!$A$30</c:f>
              <c:strCache>
                <c:ptCount val="1"/>
                <c:pt idx="0">
                  <c:v>Сальдо (на начало для притока, на конец для оттока)</c:v>
                </c:pt>
              </c:strCache>
            </c:strRef>
          </c:tx>
          <c:spPr>
            <a:solidFill>
              <a:srgbClr val="3333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ДиаграммаДС!$B$30:$I$30</c:f>
              <c:numCache/>
            </c:numRef>
          </c:val>
        </c:ser>
        <c:overlap val="100"/>
        <c:axId val="41870297"/>
        <c:axId val="41288354"/>
      </c:barChart>
      <c:catAx>
        <c:axId val="4187029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Cyr"/>
                <a:ea typeface="Arial Cyr"/>
                <a:cs typeface="Arial Cyr"/>
              </a:defRPr>
            </a:pPr>
          </a:p>
        </c:txPr>
        <c:crossAx val="41288354"/>
        <c:crosses val="autoZero"/>
        <c:auto val="1"/>
        <c:lblOffset val="100"/>
        <c:tickLblSkip val="1"/>
        <c:noMultiLvlLbl val="0"/>
      </c:catAx>
      <c:valAx>
        <c:axId val="41288354"/>
        <c:scaling>
          <c:orientation val="minMax"/>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Cyr"/>
                <a:ea typeface="Arial Cyr"/>
                <a:cs typeface="Arial Cyr"/>
              </a:defRPr>
            </a:pPr>
          </a:p>
        </c:txPr>
        <c:crossAx val="4187029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2300" b="0" i="0" u="none" baseline="0">
          <a:solidFill>
            <a:srgbClr val="000000"/>
          </a:solidFill>
          <a:latin typeface="Arial Cyr"/>
          <a:ea typeface="Arial Cyr"/>
          <a:cs typeface="Arial Cy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Cyr"/>
                <a:ea typeface="Arial Cyr"/>
                <a:cs typeface="Arial Cyr"/>
              </a:rPr>
              <a:t>Влияние факторов на изменение денежных средств</a:t>
            </a:r>
          </a:p>
        </c:rich>
      </c:tx>
      <c:layout>
        <c:manualLayout>
          <c:xMode val="factor"/>
          <c:yMode val="factor"/>
          <c:x val="0.00225"/>
          <c:y val="0"/>
        </c:manualLayout>
      </c:layout>
      <c:spPr>
        <a:noFill/>
        <a:ln>
          <a:noFill/>
        </a:ln>
      </c:spPr>
    </c:title>
    <c:plotArea>
      <c:layout>
        <c:manualLayout>
          <c:xMode val="edge"/>
          <c:yMode val="edge"/>
          <c:x val="0.01125"/>
          <c:y val="0.0805"/>
          <c:w val="0.9775"/>
          <c:h val="0.9195"/>
        </c:manualLayout>
      </c:layout>
      <c:barChart>
        <c:barDir val="col"/>
        <c:grouping val="clustered"/>
        <c:varyColors val="0"/>
        <c:ser>
          <c:idx val="0"/>
          <c:order val="0"/>
          <c:tx>
            <c:strRef>
              <c:f>ДСКдиагр!$A$29</c:f>
              <c:strCache>
                <c:ptCount val="1"/>
                <c:pt idx="0">
                  <c:v>Общее изменение денежных средств</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5400000" anchor="ctr"/>
              <a:lstStyle/>
              <a:p>
                <a:pPr algn="ctr">
                  <a:defRPr lang="en-US" cap="none" sz="800" b="0" i="0" u="none" baseline="0">
                    <a:solidFill>
                      <a:srgbClr val="000000"/>
                    </a:solidFill>
                    <a:latin typeface="Arial Cyr"/>
                    <a:ea typeface="Arial Cyr"/>
                    <a:cs typeface="Arial Cyr"/>
                  </a:defRPr>
                </a:pPr>
              </a:p>
            </c:txPr>
            <c:dLblPos val="outEnd"/>
            <c:showLegendKey val="0"/>
            <c:showVal val="0"/>
            <c:showBubbleSize val="0"/>
            <c:showCatName val="0"/>
            <c:showSerName val="1"/>
            <c:showPercent val="0"/>
          </c:dLbls>
          <c:cat>
            <c:numRef>
              <c:f>ДСКдиагр!$B$28:$D$28</c:f>
              <c:numCache/>
            </c:numRef>
          </c:cat>
          <c:val>
            <c:numRef>
              <c:f>ДСКдиагр!$B$29:$D$29</c:f>
              <c:numCache/>
            </c:numRef>
          </c:val>
        </c:ser>
        <c:ser>
          <c:idx val="1"/>
          <c:order val="1"/>
          <c:tx>
            <c:strRef>
              <c:f>ДСКдиагр!$A$30</c:f>
              <c:strCache>
                <c:ptCount val="1"/>
                <c:pt idx="0">
                  <c:v>1. Нераспределенная прибыль</c:v>
                </c:pt>
              </c:strCache>
            </c:strRef>
          </c:tx>
          <c:spPr>
            <a:pattFill prst="pct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800" b="0" i="0" u="none" baseline="0">
                      <a:solidFill>
                        <a:srgbClr val="000000"/>
                      </a:solidFill>
                      <a:latin typeface="Arial Cyr"/>
                      <a:ea typeface="Arial Cyr"/>
                      <a:cs typeface="Arial Cyr"/>
                    </a:defRPr>
                  </a:pPr>
                </a:p>
              </c:txPr>
              <c:numFmt formatCode="General" sourceLinked="1"/>
              <c:spPr>
                <a:noFill/>
                <a:ln>
                  <a:noFill/>
                </a:ln>
              </c:spPr>
              <c:dLblPos val="inEnd"/>
              <c:showLegendKey val="0"/>
              <c:showVal val="0"/>
              <c:showBubbleSize val="0"/>
              <c:showCatName val="0"/>
              <c:showSerName val="1"/>
              <c:showPercent val="0"/>
            </c:dLbl>
            <c:numFmt formatCode="General" sourceLinked="1"/>
            <c:spPr>
              <a:noFill/>
              <a:ln>
                <a:noFill/>
              </a:ln>
            </c:spPr>
            <c:txPr>
              <a:bodyPr vert="horz" rot="-5400000" anchor="ctr"/>
              <a:lstStyle/>
              <a:p>
                <a:pPr algn="ctr">
                  <a:defRPr lang="en-US" cap="none" sz="800" b="0" i="0" u="none" baseline="0">
                    <a:solidFill>
                      <a:srgbClr val="000000"/>
                    </a:solidFill>
                    <a:latin typeface="Arial Cyr"/>
                    <a:ea typeface="Arial Cyr"/>
                    <a:cs typeface="Arial Cyr"/>
                  </a:defRPr>
                </a:pPr>
              </a:p>
            </c:txPr>
            <c:dLblPos val="inEnd"/>
            <c:showLegendKey val="0"/>
            <c:showVal val="0"/>
            <c:showBubbleSize val="0"/>
            <c:showCatName val="0"/>
            <c:showSerName val="1"/>
            <c:showPercent val="0"/>
          </c:dLbls>
          <c:cat>
            <c:numRef>
              <c:f>ДСКдиагр!$B$28:$D$28</c:f>
              <c:numCache/>
            </c:numRef>
          </c:cat>
          <c:val>
            <c:numRef>
              <c:f>ДСКдиагр!$B$30:$D$30</c:f>
              <c:numCache/>
            </c:numRef>
          </c:val>
        </c:ser>
        <c:ser>
          <c:idx val="2"/>
          <c:order val="2"/>
          <c:tx>
            <c:strRef>
              <c:f>ДСКдиагр!$A$31</c:f>
              <c:strCache>
                <c:ptCount val="1"/>
                <c:pt idx="0">
                  <c:v>2. Внеоборотные активы</c:v>
                </c:pt>
              </c:strCache>
            </c:strRef>
          </c:tx>
          <c:spPr>
            <a:pattFill prst="pct2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solidFill>
                      <a:srgbClr val="000000"/>
                    </a:solidFill>
                    <a:latin typeface="Arial Cyr"/>
                    <a:ea typeface="Arial Cyr"/>
                    <a:cs typeface="Arial Cyr"/>
                  </a:defRPr>
                </a:pPr>
              </a:p>
            </c:txPr>
            <c:dLblPos val="outEnd"/>
            <c:showLegendKey val="0"/>
            <c:showVal val="0"/>
            <c:showBubbleSize val="0"/>
            <c:showCatName val="0"/>
            <c:showSerName val="1"/>
            <c:showPercent val="0"/>
          </c:dLbls>
          <c:cat>
            <c:numRef>
              <c:f>ДСКдиагр!$B$28:$D$28</c:f>
              <c:numCache/>
            </c:numRef>
          </c:cat>
          <c:val>
            <c:numRef>
              <c:f>ДСКдиагр!$B$31:$D$31</c:f>
              <c:numCache/>
            </c:numRef>
          </c:val>
        </c:ser>
        <c:ser>
          <c:idx val="3"/>
          <c:order val="3"/>
          <c:tx>
            <c:strRef>
              <c:f>ДСКдиагр!$A$32</c:f>
              <c:strCache>
                <c:ptCount val="1"/>
                <c:pt idx="0">
                  <c:v>3. Оборотные активы</c:v>
                </c:pt>
              </c:strCache>
            </c:strRef>
          </c:tx>
          <c:spPr>
            <a:pattFill prst="pct3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5400000" anchor="ctr"/>
              <a:lstStyle/>
              <a:p>
                <a:pPr algn="ctr">
                  <a:defRPr lang="en-US" cap="none" sz="800" b="0" i="0" u="none" baseline="0">
                    <a:solidFill>
                      <a:srgbClr val="000000"/>
                    </a:solidFill>
                    <a:latin typeface="Arial Cyr"/>
                    <a:ea typeface="Arial Cyr"/>
                    <a:cs typeface="Arial Cyr"/>
                  </a:defRPr>
                </a:pPr>
              </a:p>
            </c:txPr>
            <c:dLblPos val="outEnd"/>
            <c:showLegendKey val="0"/>
            <c:showVal val="0"/>
            <c:showBubbleSize val="0"/>
            <c:showCatName val="0"/>
            <c:showSerName val="1"/>
            <c:showPercent val="0"/>
          </c:dLbls>
          <c:cat>
            <c:numRef>
              <c:f>ДСКдиагр!$B$28:$D$28</c:f>
              <c:numCache/>
            </c:numRef>
          </c:cat>
          <c:val>
            <c:numRef>
              <c:f>ДСКдиагр!$B$32:$D$32</c:f>
              <c:numCache/>
            </c:numRef>
          </c:val>
        </c:ser>
        <c:ser>
          <c:idx val="4"/>
          <c:order val="4"/>
          <c:tx>
            <c:strRef>
              <c:f>ДСКдиагр!$A$33</c:f>
              <c:strCache>
                <c:ptCount val="1"/>
                <c:pt idx="0">
                  <c:v>4. Капиталы и резервы</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solidFill>
                      <a:srgbClr val="000000"/>
                    </a:solidFill>
                    <a:latin typeface="Arial Cyr"/>
                    <a:ea typeface="Arial Cyr"/>
                    <a:cs typeface="Arial Cyr"/>
                  </a:defRPr>
                </a:pPr>
              </a:p>
            </c:txPr>
            <c:dLblPos val="outEnd"/>
            <c:showLegendKey val="0"/>
            <c:showVal val="0"/>
            <c:showBubbleSize val="0"/>
            <c:showCatName val="0"/>
            <c:showSerName val="1"/>
            <c:showPercent val="0"/>
          </c:dLbls>
          <c:cat>
            <c:numRef>
              <c:f>ДСКдиагр!$B$28:$D$28</c:f>
              <c:numCache/>
            </c:numRef>
          </c:cat>
          <c:val>
            <c:numRef>
              <c:f>ДСКдиагр!$B$33:$D$33</c:f>
              <c:numCache/>
            </c:numRef>
          </c:val>
        </c:ser>
        <c:ser>
          <c:idx val="5"/>
          <c:order val="5"/>
          <c:tx>
            <c:strRef>
              <c:f>ДСКдиагр!$A$34</c:f>
              <c:strCache>
                <c:ptCount val="1"/>
                <c:pt idx="0">
                  <c:v>5. Долгосрочные обязательства</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solidFill>
                      <a:srgbClr val="000000"/>
                    </a:solidFill>
                    <a:latin typeface="Arial Cyr"/>
                    <a:ea typeface="Arial Cyr"/>
                    <a:cs typeface="Arial Cyr"/>
                  </a:defRPr>
                </a:pPr>
              </a:p>
            </c:txPr>
            <c:dLblPos val="outEnd"/>
            <c:showLegendKey val="0"/>
            <c:showVal val="0"/>
            <c:showBubbleSize val="0"/>
            <c:showCatName val="0"/>
            <c:showSerName val="1"/>
            <c:showPercent val="0"/>
          </c:dLbls>
          <c:cat>
            <c:numRef>
              <c:f>ДСКдиагр!$B$28:$D$28</c:f>
              <c:numCache/>
            </c:numRef>
          </c:cat>
          <c:val>
            <c:numRef>
              <c:f>ДСКдиагр!$B$34:$D$34</c:f>
              <c:numCache/>
            </c:numRef>
          </c:val>
        </c:ser>
        <c:ser>
          <c:idx val="6"/>
          <c:order val="6"/>
          <c:tx>
            <c:strRef>
              <c:f>ДСКдиагр!$A$35</c:f>
              <c:strCache>
                <c:ptCount val="1"/>
                <c:pt idx="0">
                  <c:v>6. Краткосрочные обязательства</c:v>
                </c:pt>
              </c:strCache>
            </c:strRef>
          </c:tx>
          <c:spPr>
            <a:pattFill prst="pct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800" b="0" i="0" u="none" baseline="0">
                    <a:solidFill>
                      <a:srgbClr val="000000"/>
                    </a:solidFill>
                    <a:latin typeface="Arial Cyr"/>
                    <a:ea typeface="Arial Cyr"/>
                    <a:cs typeface="Arial Cyr"/>
                  </a:defRPr>
                </a:pPr>
              </a:p>
            </c:txPr>
            <c:dLblPos val="inEnd"/>
            <c:showLegendKey val="0"/>
            <c:showVal val="0"/>
            <c:showBubbleSize val="0"/>
            <c:showCatName val="0"/>
            <c:showSerName val="1"/>
            <c:showPercent val="0"/>
          </c:dLbls>
          <c:cat>
            <c:numRef>
              <c:f>ДСКдиагр!$B$28:$D$28</c:f>
              <c:numCache/>
            </c:numRef>
          </c:cat>
          <c:val>
            <c:numRef>
              <c:f>ДСКдиагр!$B$35:$D$35</c:f>
              <c:numCache/>
            </c:numRef>
          </c:val>
        </c:ser>
        <c:axId val="36050867"/>
        <c:axId val="56022348"/>
      </c:barChart>
      <c:catAx>
        <c:axId val="3605086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crossAx val="56022348"/>
        <c:crosses val="autoZero"/>
        <c:auto val="1"/>
        <c:lblOffset val="100"/>
        <c:tickLblSkip val="1"/>
        <c:noMultiLvlLbl val="0"/>
      </c:catAx>
      <c:valAx>
        <c:axId val="560223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crossAx val="3605086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Cyr"/>
          <a:ea typeface="Arial Cyr"/>
          <a:cs typeface="Arial Cy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2225"/>
          <c:w val="0.96425"/>
          <c:h val="0.60125"/>
        </c:manualLayout>
      </c:layout>
      <c:barChart>
        <c:barDir val="col"/>
        <c:grouping val="clustered"/>
        <c:varyColors val="0"/>
        <c:ser>
          <c:idx val="0"/>
          <c:order val="0"/>
          <c:tx>
            <c:v>Рентабельность активов по чистой прибыли</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Рентабельность!$C$5:$E$5</c:f>
              <c:numCache/>
            </c:numRef>
          </c:cat>
          <c:val>
            <c:numRef>
              <c:f>Рентабельность!$C$13:$E$13</c:f>
              <c:numCache/>
            </c:numRef>
          </c:val>
        </c:ser>
        <c:ser>
          <c:idx val="1"/>
          <c:order val="1"/>
          <c:tx>
            <c:v>Рентабельность внеоборотных активов по чистой прибыли</c:v>
          </c:tx>
          <c:spPr>
            <a:pattFill prst="pct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Рентабельность!$C$5:$E$5</c:f>
              <c:numCache/>
            </c:numRef>
          </c:cat>
          <c:val>
            <c:numRef>
              <c:f>Рентабельность!$C$14:$E$14</c:f>
              <c:numCache/>
            </c:numRef>
          </c:val>
        </c:ser>
        <c:ser>
          <c:idx val="2"/>
          <c:order val="2"/>
          <c:tx>
            <c:v>Рентабельность оборотных активов по чистой прибыли</c:v>
          </c:tx>
          <c:spPr>
            <a:pattFill prst="pct2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Рентабельность!$C$5:$E$5</c:f>
              <c:numCache/>
            </c:numRef>
          </c:cat>
          <c:val>
            <c:numRef>
              <c:f>Рентабельность!$C$15:$E$15</c:f>
              <c:numCache/>
            </c:numRef>
          </c:val>
        </c:ser>
        <c:ser>
          <c:idx val="3"/>
          <c:order val="3"/>
          <c:tx>
            <c:v>Рентабельность реального собственного капитала по чистой прибыли</c:v>
          </c:tx>
          <c:spPr>
            <a:pattFill prst="ltHorz">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Рентабельность!$C$5:$E$5</c:f>
              <c:numCache/>
            </c:numRef>
          </c:cat>
          <c:val>
            <c:numRef>
              <c:f>Рентабельность!$C$16:$E$16</c:f>
              <c:numCache/>
            </c:numRef>
          </c:val>
        </c:ser>
        <c:ser>
          <c:idx val="4"/>
          <c:order val="4"/>
          <c:tx>
            <c:v>Рентабельность продаж по прибыли от продаж</c:v>
          </c:tx>
          <c:spPr>
            <a:pattFill prst="lgCheck">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Рентабельность!$C$5:$E$5</c:f>
              <c:numCache/>
            </c:numRef>
          </c:cat>
          <c:val>
            <c:numRef>
              <c:f>Рентабельность!$C$17:$E$17</c:f>
              <c:numCache/>
            </c:numRef>
          </c:val>
        </c:ser>
        <c:ser>
          <c:idx val="5"/>
          <c:order val="5"/>
          <c:tx>
            <c:v>Рентабельность продаж по чистой прибыли</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Рентабельность!$C$5:$E$5</c:f>
              <c:numCache/>
            </c:numRef>
          </c:cat>
          <c:val>
            <c:numRef>
              <c:f>Рентабельность!$C$18:$E$18</c:f>
              <c:numCache/>
            </c:numRef>
          </c:val>
        </c:ser>
        <c:axId val="34439085"/>
        <c:axId val="41516310"/>
      </c:barChart>
      <c:catAx>
        <c:axId val="34439085"/>
        <c:scaling>
          <c:orientation val="minMax"/>
        </c:scaling>
        <c:axPos val="b"/>
        <c:delete val="0"/>
        <c:numFmt formatCode="General" sourceLinked="1"/>
        <c:majorTickMark val="out"/>
        <c:minorTickMark val="none"/>
        <c:tickLblPos val="nextTo"/>
        <c:spPr>
          <a:ln w="3175">
            <a:solidFill>
              <a:srgbClr val="000000"/>
            </a:solidFill>
          </a:ln>
        </c:spPr>
        <c:crossAx val="41516310"/>
        <c:crosses val="autoZero"/>
        <c:auto val="1"/>
        <c:lblOffset val="100"/>
        <c:tickLblSkip val="1"/>
        <c:noMultiLvlLbl val="0"/>
      </c:catAx>
      <c:valAx>
        <c:axId val="4151631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439085"/>
        <c:crossesAt val="1"/>
        <c:crossBetween val="between"/>
        <c:dispUnits/>
      </c:valAx>
      <c:spPr>
        <a:solidFill>
          <a:srgbClr val="FFFFFF"/>
        </a:solidFill>
        <a:ln w="12700">
          <a:solidFill>
            <a:srgbClr val="808080"/>
          </a:solidFill>
        </a:ln>
      </c:spPr>
    </c:plotArea>
    <c:legend>
      <c:legendPos val="b"/>
      <c:layout>
        <c:manualLayout>
          <c:xMode val="edge"/>
          <c:yMode val="edge"/>
          <c:x val="0"/>
          <c:y val="0.63125"/>
          <c:w val="0.96075"/>
          <c:h val="0.364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Cyr"/>
              <a:ea typeface="Arial Cyr"/>
              <a:cs typeface="Arial Cyr"/>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Cyr"/>
          <a:ea typeface="Arial Cyr"/>
          <a:cs typeface="Arial Cyr"/>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Диаграмма6"/>
  <sheetViews>
    <sheetView workbookViewId="0" zoomScale="93"/>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3"/>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72</xdr:row>
      <xdr:rowOff>38100</xdr:rowOff>
    </xdr:from>
    <xdr:to>
      <xdr:col>1</xdr:col>
      <xdr:colOff>1028700</xdr:colOff>
      <xdr:row>72</xdr:row>
      <xdr:rowOff>257175</xdr:rowOff>
    </xdr:to>
    <xdr:pic>
      <xdr:nvPicPr>
        <xdr:cNvPr id="1" name="Picture 8"/>
        <xdr:cNvPicPr preferRelativeResize="1">
          <a:picLocks noChangeAspect="1"/>
        </xdr:cNvPicPr>
      </xdr:nvPicPr>
      <xdr:blipFill>
        <a:blip r:embed="rId1"/>
        <a:stretch>
          <a:fillRect/>
        </a:stretch>
      </xdr:blipFill>
      <xdr:spPr>
        <a:xfrm>
          <a:off x="1028700" y="17964150"/>
          <a:ext cx="228600" cy="219075"/>
        </a:xfrm>
        <a:prstGeom prst="rect">
          <a:avLst/>
        </a:prstGeom>
        <a:solidFill>
          <a:srgbClr val="FFFFFF"/>
        </a:solidFill>
        <a:ln w="9525" cmpd="sng">
          <a:noFill/>
        </a:ln>
      </xdr:spPr>
    </xdr:pic>
    <xdr:clientData/>
  </xdr:twoCellAnchor>
  <xdr:twoCellAnchor editAs="oneCell">
    <xdr:from>
      <xdr:col>1</xdr:col>
      <xdr:colOff>1304925</xdr:colOff>
      <xdr:row>73</xdr:row>
      <xdr:rowOff>19050</xdr:rowOff>
    </xdr:from>
    <xdr:to>
      <xdr:col>1</xdr:col>
      <xdr:colOff>1533525</xdr:colOff>
      <xdr:row>73</xdr:row>
      <xdr:rowOff>238125</xdr:rowOff>
    </xdr:to>
    <xdr:pic>
      <xdr:nvPicPr>
        <xdr:cNvPr id="2" name="Picture 9"/>
        <xdr:cNvPicPr preferRelativeResize="1">
          <a:picLocks noChangeAspect="1"/>
        </xdr:cNvPicPr>
      </xdr:nvPicPr>
      <xdr:blipFill>
        <a:blip r:embed="rId1"/>
        <a:stretch>
          <a:fillRect/>
        </a:stretch>
      </xdr:blipFill>
      <xdr:spPr>
        <a:xfrm>
          <a:off x="1533525" y="18249900"/>
          <a:ext cx="228600" cy="219075"/>
        </a:xfrm>
        <a:prstGeom prst="rect">
          <a:avLst/>
        </a:prstGeom>
        <a:solidFill>
          <a:srgbClr val="CCFFCC"/>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10</xdr:col>
      <xdr:colOff>19050</xdr:colOff>
      <xdr:row>28</xdr:row>
      <xdr:rowOff>57150</xdr:rowOff>
    </xdr:to>
    <xdr:graphicFrame>
      <xdr:nvGraphicFramePr>
        <xdr:cNvPr id="1" name="Chart 1"/>
        <xdr:cNvGraphicFramePr/>
      </xdr:nvGraphicFramePr>
      <xdr:xfrm>
        <a:off x="0" y="19050"/>
        <a:ext cx="9620250" cy="4572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52</xdr:row>
      <xdr:rowOff>104775</xdr:rowOff>
    </xdr:from>
    <xdr:to>
      <xdr:col>6</xdr:col>
      <xdr:colOff>514350</xdr:colOff>
      <xdr:row>90</xdr:row>
      <xdr:rowOff>104775</xdr:rowOff>
    </xdr:to>
    <xdr:graphicFrame>
      <xdr:nvGraphicFramePr>
        <xdr:cNvPr id="1" name="Chart 2"/>
        <xdr:cNvGraphicFramePr/>
      </xdr:nvGraphicFramePr>
      <xdr:xfrm>
        <a:off x="123825" y="12211050"/>
        <a:ext cx="6181725" cy="6153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xdr:rowOff>
    </xdr:from>
    <xdr:to>
      <xdr:col>9</xdr:col>
      <xdr:colOff>1028700</xdr:colOff>
      <xdr:row>23</xdr:row>
      <xdr:rowOff>514350</xdr:rowOff>
    </xdr:to>
    <xdr:graphicFrame>
      <xdr:nvGraphicFramePr>
        <xdr:cNvPr id="1" name="Chart 1"/>
        <xdr:cNvGraphicFramePr/>
      </xdr:nvGraphicFramePr>
      <xdr:xfrm>
        <a:off x="66675" y="9525"/>
        <a:ext cx="11468100" cy="4352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57150</xdr:rowOff>
    </xdr:from>
    <xdr:to>
      <xdr:col>9</xdr:col>
      <xdr:colOff>657225</xdr:colOff>
      <xdr:row>26</xdr:row>
      <xdr:rowOff>57150</xdr:rowOff>
    </xdr:to>
    <xdr:graphicFrame>
      <xdr:nvGraphicFramePr>
        <xdr:cNvPr id="1" name="Chart 3"/>
        <xdr:cNvGraphicFramePr/>
      </xdr:nvGraphicFramePr>
      <xdr:xfrm>
        <a:off x="142875" y="57150"/>
        <a:ext cx="9763125" cy="42100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19</xdr:row>
      <xdr:rowOff>47625</xdr:rowOff>
    </xdr:from>
    <xdr:to>
      <xdr:col>4</xdr:col>
      <xdr:colOff>1190625</xdr:colOff>
      <xdr:row>46</xdr:row>
      <xdr:rowOff>76200</xdr:rowOff>
    </xdr:to>
    <xdr:graphicFrame>
      <xdr:nvGraphicFramePr>
        <xdr:cNvPr id="1" name="Chart 1"/>
        <xdr:cNvGraphicFramePr/>
      </xdr:nvGraphicFramePr>
      <xdr:xfrm>
        <a:off x="266700" y="4276725"/>
        <a:ext cx="6191250" cy="4400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oleObject" Target="../embeddings/oleObject_9_0.bin" /><Relationship Id="rId3" Type="http://schemas.openxmlformats.org/officeDocument/2006/relationships/oleObject" Target="../embeddings/oleObject_9_1.bin" /><Relationship Id="rId4" Type="http://schemas.openxmlformats.org/officeDocument/2006/relationships/oleObject" Target="../embeddings/oleObject_9_2.bin" /><Relationship Id="rId5" Type="http://schemas.openxmlformats.org/officeDocument/2006/relationships/oleObject" Target="../embeddings/oleObject_9_3.bin" /><Relationship Id="rId6" Type="http://schemas.openxmlformats.org/officeDocument/2006/relationships/oleObject" Target="../embeddings/oleObject_9_4.bin" /><Relationship Id="rId7" Type="http://schemas.openxmlformats.org/officeDocument/2006/relationships/oleObject" Target="../embeddings/oleObject_9_5.bin" /><Relationship Id="rId8" Type="http://schemas.openxmlformats.org/officeDocument/2006/relationships/oleObject" Target="../embeddings/oleObject_9_6.bin" /><Relationship Id="rId9" Type="http://schemas.openxmlformats.org/officeDocument/2006/relationships/vmlDrawing" Target="../drawings/vmlDrawing1.vml" /><Relationship Id="rId10" Type="http://schemas.openxmlformats.org/officeDocument/2006/relationships/drawing" Target="../drawings/drawing1.xml" /><Relationship Id="rId1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vm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36"/>
  <sheetViews>
    <sheetView zoomScale="90" zoomScaleNormal="90" zoomScaleSheetLayoutView="100" zoomScalePageLayoutView="0" workbookViewId="0" topLeftCell="A88">
      <selection activeCell="I40" sqref="I40"/>
    </sheetView>
  </sheetViews>
  <sheetFormatPr defaultColWidth="9.00390625" defaultRowHeight="12.75"/>
  <cols>
    <col min="1" max="1" width="57.00390625" style="122" customWidth="1"/>
    <col min="2" max="2" width="11.00390625" style="121" customWidth="1"/>
    <col min="3" max="3" width="13.625" style="122" customWidth="1"/>
    <col min="4" max="4" width="12.25390625" style="122" customWidth="1"/>
    <col min="5" max="5" width="12.875" style="122" customWidth="1"/>
    <col min="6" max="6" width="11.25390625" style="122" customWidth="1"/>
    <col min="7" max="7" width="3.625" style="122" customWidth="1"/>
    <col min="8" max="16384" width="9.125" style="122" customWidth="1"/>
  </cols>
  <sheetData>
    <row r="1" spans="2:6" ht="35.25" customHeight="1">
      <c r="B1" s="403"/>
      <c r="C1" s="505">
        <f>IF(C48=C107,"","Активы не равны пассивам")</f>
      </c>
      <c r="D1" s="504">
        <f>IF(D48=D107,"","Активы не равны пассивам")</f>
      </c>
      <c r="E1" s="504">
        <f>IF(E48=E107,"","Активы не равны пассивам")</f>
      </c>
      <c r="F1" s="504">
        <f>IF(F48=F107,"","Активы не равны пассивам")</f>
      </c>
    </row>
    <row r="2" spans="1:6" ht="12">
      <c r="A2" s="511" t="s">
        <v>692</v>
      </c>
      <c r="B2" s="512"/>
      <c r="C2" s="512"/>
      <c r="D2" s="512"/>
      <c r="E2" s="512"/>
      <c r="F2" s="513"/>
    </row>
    <row r="3" spans="1:6" ht="26.25" customHeight="1">
      <c r="A3" s="123" t="s">
        <v>694</v>
      </c>
      <c r="B3" s="124" t="s">
        <v>83</v>
      </c>
      <c r="C3" s="125">
        <v>37257</v>
      </c>
      <c r="D3" s="125">
        <v>37622</v>
      </c>
      <c r="E3" s="125">
        <v>37987</v>
      </c>
      <c r="F3" s="125">
        <v>38353</v>
      </c>
    </row>
    <row r="4" spans="1:6" ht="12">
      <c r="A4" s="185" t="s">
        <v>84</v>
      </c>
      <c r="B4" s="185"/>
      <c r="C4" s="186"/>
      <c r="D4" s="186"/>
      <c r="E4" s="186"/>
      <c r="F4" s="186"/>
    </row>
    <row r="5" spans="1:6" ht="12">
      <c r="A5" s="126" t="s">
        <v>85</v>
      </c>
      <c r="B5" s="127"/>
      <c r="C5" s="128"/>
      <c r="D5" s="128"/>
      <c r="E5" s="128"/>
      <c r="F5" s="128"/>
    </row>
    <row r="6" spans="1:6" ht="12">
      <c r="A6" s="129" t="s">
        <v>675</v>
      </c>
      <c r="B6" s="127">
        <v>110</v>
      </c>
      <c r="C6" s="281">
        <v>0</v>
      </c>
      <c r="D6" s="281">
        <v>0</v>
      </c>
      <c r="E6" s="281">
        <v>0</v>
      </c>
      <c r="F6" s="281">
        <v>0</v>
      </c>
    </row>
    <row r="7" spans="1:6" ht="12">
      <c r="A7" s="129" t="s">
        <v>86</v>
      </c>
      <c r="B7" s="127">
        <v>120</v>
      </c>
      <c r="C7" s="281">
        <v>73257</v>
      </c>
      <c r="D7" s="281">
        <v>77374</v>
      </c>
      <c r="E7" s="281">
        <v>45089</v>
      </c>
      <c r="F7" s="281">
        <v>53052</v>
      </c>
    </row>
    <row r="8" spans="1:6" ht="12">
      <c r="A8" s="129" t="s">
        <v>87</v>
      </c>
      <c r="B8" s="127">
        <v>130</v>
      </c>
      <c r="C8" s="281">
        <v>1060</v>
      </c>
      <c r="D8" s="281">
        <v>896</v>
      </c>
      <c r="E8" s="281">
        <v>6685</v>
      </c>
      <c r="F8" s="282">
        <v>0</v>
      </c>
    </row>
    <row r="9" spans="1:6" ht="12">
      <c r="A9" s="129" t="s">
        <v>676</v>
      </c>
      <c r="B9" s="127">
        <v>135</v>
      </c>
      <c r="C9" s="281">
        <v>0</v>
      </c>
      <c r="D9" s="281">
        <v>0</v>
      </c>
      <c r="E9" s="281">
        <v>0</v>
      </c>
      <c r="F9" s="281">
        <v>0</v>
      </c>
    </row>
    <row r="10" spans="1:6" ht="12">
      <c r="A10" s="129" t="s">
        <v>88</v>
      </c>
      <c r="B10" s="127">
        <v>140</v>
      </c>
      <c r="C10" s="281">
        <v>2</v>
      </c>
      <c r="D10" s="281">
        <v>2</v>
      </c>
      <c r="E10" s="281">
        <v>2</v>
      </c>
      <c r="F10" s="281">
        <v>2</v>
      </c>
    </row>
    <row r="11" spans="1:6" ht="12">
      <c r="A11" s="129" t="s">
        <v>792</v>
      </c>
      <c r="B11" s="127">
        <v>145</v>
      </c>
      <c r="C11" s="281">
        <v>0</v>
      </c>
      <c r="D11" s="281">
        <v>0</v>
      </c>
      <c r="E11" s="281">
        <v>0</v>
      </c>
      <c r="F11" s="283">
        <v>0</v>
      </c>
    </row>
    <row r="12" spans="1:6" ht="12">
      <c r="A12" s="129" t="s">
        <v>89</v>
      </c>
      <c r="B12" s="127">
        <v>150</v>
      </c>
      <c r="C12" s="281">
        <v>0</v>
      </c>
      <c r="D12" s="281">
        <v>0</v>
      </c>
      <c r="E12" s="281">
        <v>0</v>
      </c>
      <c r="F12" s="282">
        <v>0</v>
      </c>
    </row>
    <row r="13" spans="1:6" ht="12">
      <c r="A13" s="132" t="s">
        <v>90</v>
      </c>
      <c r="B13" s="127">
        <v>190</v>
      </c>
      <c r="C13" s="284">
        <f>SUM(C6:C12)</f>
        <v>74319</v>
      </c>
      <c r="D13" s="284">
        <f>SUM(D6:D12)</f>
        <v>78272</v>
      </c>
      <c r="E13" s="284">
        <f>SUM(E6:E12)</f>
        <v>51776</v>
      </c>
      <c r="F13" s="284">
        <f>SUM(F6:F12)</f>
        <v>53054</v>
      </c>
    </row>
    <row r="14" spans="1:6" ht="12">
      <c r="A14" s="134" t="s">
        <v>91</v>
      </c>
      <c r="B14" s="135"/>
      <c r="C14" s="285"/>
      <c r="D14" s="285"/>
      <c r="E14" s="285"/>
      <c r="F14" s="286"/>
    </row>
    <row r="15" spans="1:6" ht="12">
      <c r="A15" s="129" t="s">
        <v>92</v>
      </c>
      <c r="B15" s="127">
        <v>210</v>
      </c>
      <c r="C15" s="284">
        <v>41599</v>
      </c>
      <c r="D15" s="284">
        <v>53651</v>
      </c>
      <c r="E15" s="284">
        <v>69439</v>
      </c>
      <c r="F15" s="284">
        <v>87624</v>
      </c>
    </row>
    <row r="16" spans="1:6" ht="24">
      <c r="A16" s="137" t="s">
        <v>93</v>
      </c>
      <c r="B16" s="138">
        <v>211</v>
      </c>
      <c r="C16" s="289">
        <v>15990</v>
      </c>
      <c r="D16" s="289">
        <v>17237</v>
      </c>
      <c r="E16" s="289">
        <v>20107</v>
      </c>
      <c r="F16" s="290">
        <v>27157</v>
      </c>
    </row>
    <row r="17" spans="1:6" ht="12">
      <c r="A17" s="139" t="s">
        <v>821</v>
      </c>
      <c r="B17" s="138">
        <v>212</v>
      </c>
      <c r="C17" s="289">
        <v>14029</v>
      </c>
      <c r="D17" s="289">
        <v>18485</v>
      </c>
      <c r="E17" s="289">
        <v>22651</v>
      </c>
      <c r="F17" s="290">
        <v>29101</v>
      </c>
    </row>
    <row r="18" spans="1:6" ht="24">
      <c r="A18" s="137" t="s">
        <v>94</v>
      </c>
      <c r="B18" s="138">
        <v>213</v>
      </c>
      <c r="C18" s="289">
        <v>3087</v>
      </c>
      <c r="D18" s="289">
        <v>2775</v>
      </c>
      <c r="E18" s="289">
        <v>4249</v>
      </c>
      <c r="F18" s="290">
        <v>4862</v>
      </c>
    </row>
    <row r="19" spans="1:6" ht="12">
      <c r="A19" s="139" t="s">
        <v>95</v>
      </c>
      <c r="B19" s="138">
        <v>214</v>
      </c>
      <c r="C19" s="289">
        <v>18493</v>
      </c>
      <c r="D19" s="289">
        <v>15154</v>
      </c>
      <c r="E19" s="289">
        <v>22432</v>
      </c>
      <c r="F19" s="290">
        <v>26504</v>
      </c>
    </row>
    <row r="20" spans="1:6" ht="12">
      <c r="A20" s="139" t="s">
        <v>96</v>
      </c>
      <c r="B20" s="138">
        <v>215</v>
      </c>
      <c r="C20" s="289">
        <v>0</v>
      </c>
      <c r="D20" s="289">
        <v>0</v>
      </c>
      <c r="E20" s="289">
        <v>0</v>
      </c>
      <c r="F20" s="290">
        <v>0</v>
      </c>
    </row>
    <row r="21" spans="1:6" ht="12">
      <c r="A21" s="139" t="s">
        <v>97</v>
      </c>
      <c r="B21" s="138">
        <v>216</v>
      </c>
      <c r="C21" s="289">
        <v>0</v>
      </c>
      <c r="D21" s="289">
        <v>0</v>
      </c>
      <c r="E21" s="289">
        <v>0</v>
      </c>
      <c r="F21" s="290">
        <v>0</v>
      </c>
    </row>
    <row r="22" spans="1:6" ht="12">
      <c r="A22" s="139" t="s">
        <v>98</v>
      </c>
      <c r="B22" s="138">
        <v>217</v>
      </c>
      <c r="C22" s="289">
        <v>0</v>
      </c>
      <c r="D22" s="289">
        <v>0</v>
      </c>
      <c r="E22" s="289">
        <v>0</v>
      </c>
      <c r="F22" s="290">
        <v>0</v>
      </c>
    </row>
    <row r="23" spans="1:6" ht="12">
      <c r="A23" s="129" t="s">
        <v>99</v>
      </c>
      <c r="B23" s="127">
        <v>220</v>
      </c>
      <c r="C23" s="281">
        <v>2137</v>
      </c>
      <c r="D23" s="281">
        <v>2433</v>
      </c>
      <c r="E23" s="281">
        <v>2024</v>
      </c>
      <c r="F23" s="282">
        <v>0</v>
      </c>
    </row>
    <row r="24" spans="1:6" ht="24">
      <c r="A24" s="141" t="s">
        <v>100</v>
      </c>
      <c r="B24" s="127">
        <v>230</v>
      </c>
      <c r="C24" s="284">
        <v>0</v>
      </c>
      <c r="D24" s="284">
        <v>0</v>
      </c>
      <c r="E24" s="284">
        <v>0</v>
      </c>
      <c r="F24" s="284">
        <v>0</v>
      </c>
    </row>
    <row r="25" spans="1:6" ht="12">
      <c r="A25" s="137" t="s">
        <v>101</v>
      </c>
      <c r="B25" s="138">
        <v>231</v>
      </c>
      <c r="C25" s="289">
        <v>0</v>
      </c>
      <c r="D25" s="289">
        <v>0</v>
      </c>
      <c r="E25" s="289">
        <v>0</v>
      </c>
      <c r="F25" s="290">
        <v>0</v>
      </c>
    </row>
    <row r="26" spans="1:6" ht="12">
      <c r="A26" s="139" t="s">
        <v>102</v>
      </c>
      <c r="B26" s="138">
        <v>232</v>
      </c>
      <c r="C26" s="289">
        <v>0</v>
      </c>
      <c r="D26" s="289">
        <v>0</v>
      </c>
      <c r="E26" s="289">
        <v>0</v>
      </c>
      <c r="F26" s="290">
        <v>0</v>
      </c>
    </row>
    <row r="27" spans="1:6" ht="12">
      <c r="A27" s="139" t="s">
        <v>103</v>
      </c>
      <c r="B27" s="138">
        <v>233</v>
      </c>
      <c r="C27" s="289">
        <v>0</v>
      </c>
      <c r="D27" s="289">
        <v>0</v>
      </c>
      <c r="E27" s="289">
        <v>0</v>
      </c>
      <c r="F27" s="290">
        <v>0</v>
      </c>
    </row>
    <row r="28" spans="1:6" ht="12">
      <c r="A28" s="139" t="s">
        <v>104</v>
      </c>
      <c r="B28" s="138">
        <v>234</v>
      </c>
      <c r="C28" s="289">
        <v>0</v>
      </c>
      <c r="D28" s="289">
        <v>0</v>
      </c>
      <c r="E28" s="289">
        <v>0</v>
      </c>
      <c r="F28" s="290">
        <v>0</v>
      </c>
    </row>
    <row r="29" spans="1:6" ht="12">
      <c r="A29" s="139" t="s">
        <v>105</v>
      </c>
      <c r="B29" s="138">
        <v>235</v>
      </c>
      <c r="C29" s="289">
        <v>0</v>
      </c>
      <c r="D29" s="289">
        <v>0</v>
      </c>
      <c r="E29" s="289">
        <v>0</v>
      </c>
      <c r="F29" s="290">
        <v>0</v>
      </c>
    </row>
    <row r="30" spans="1:9" ht="24">
      <c r="A30" s="141" t="s">
        <v>106</v>
      </c>
      <c r="B30" s="127">
        <v>240</v>
      </c>
      <c r="C30" s="284">
        <v>5433</v>
      </c>
      <c r="D30" s="284">
        <v>11979</v>
      </c>
      <c r="E30" s="284">
        <v>9389</v>
      </c>
      <c r="F30" s="284">
        <v>13844</v>
      </c>
      <c r="I30" s="506"/>
    </row>
    <row r="31" spans="1:9" ht="12">
      <c r="A31" s="137" t="s">
        <v>101</v>
      </c>
      <c r="B31" s="138">
        <v>241</v>
      </c>
      <c r="C31" s="287">
        <v>720</v>
      </c>
      <c r="D31" s="287">
        <v>6335</v>
      </c>
      <c r="E31" s="287">
        <v>5003</v>
      </c>
      <c r="F31" s="288">
        <v>8683</v>
      </c>
      <c r="I31" s="506"/>
    </row>
    <row r="32" spans="1:6" ht="12">
      <c r="A32" s="139" t="s">
        <v>102</v>
      </c>
      <c r="B32" s="138">
        <v>242</v>
      </c>
      <c r="C32" s="289">
        <v>217</v>
      </c>
      <c r="D32" s="289">
        <v>0</v>
      </c>
      <c r="E32" s="289">
        <v>0</v>
      </c>
      <c r="F32" s="290">
        <v>0</v>
      </c>
    </row>
    <row r="33" spans="1:6" ht="12">
      <c r="A33" s="139" t="s">
        <v>107</v>
      </c>
      <c r="B33" s="138">
        <v>243</v>
      </c>
      <c r="C33" s="289">
        <v>0</v>
      </c>
      <c r="D33" s="289">
        <v>0</v>
      </c>
      <c r="E33" s="289">
        <v>0</v>
      </c>
      <c r="F33" s="290">
        <v>0</v>
      </c>
    </row>
    <row r="34" spans="1:6" ht="24">
      <c r="A34" s="137" t="s">
        <v>108</v>
      </c>
      <c r="B34" s="138">
        <v>244</v>
      </c>
      <c r="C34" s="289">
        <v>0</v>
      </c>
      <c r="D34" s="289">
        <v>0</v>
      </c>
      <c r="E34" s="289">
        <v>0</v>
      </c>
      <c r="F34" s="290">
        <v>0</v>
      </c>
    </row>
    <row r="35" spans="1:6" ht="12">
      <c r="A35" s="139" t="s">
        <v>104</v>
      </c>
      <c r="B35" s="138">
        <v>245</v>
      </c>
      <c r="C35" s="289">
        <v>0</v>
      </c>
      <c r="D35" s="289">
        <v>4186</v>
      </c>
      <c r="E35" s="289">
        <v>0</v>
      </c>
      <c r="F35" s="290">
        <v>0</v>
      </c>
    </row>
    <row r="36" spans="1:6" ht="12">
      <c r="A36" s="139" t="s">
        <v>105</v>
      </c>
      <c r="B36" s="138">
        <v>246</v>
      </c>
      <c r="C36" s="289">
        <v>4713</v>
      </c>
      <c r="D36" s="289">
        <v>1458</v>
      </c>
      <c r="E36" s="289">
        <v>0</v>
      </c>
      <c r="F36" s="290">
        <v>0</v>
      </c>
    </row>
    <row r="37" spans="1:6" ht="12">
      <c r="A37" s="129" t="s">
        <v>109</v>
      </c>
      <c r="B37" s="127">
        <v>250</v>
      </c>
      <c r="C37" s="284">
        <f>SUM(C38:C40)</f>
        <v>0</v>
      </c>
      <c r="D37" s="284">
        <f>SUM(D38:D40)</f>
        <v>0</v>
      </c>
      <c r="E37" s="284">
        <v>0</v>
      </c>
      <c r="F37" s="284">
        <v>0</v>
      </c>
    </row>
    <row r="38" spans="1:6" ht="24">
      <c r="A38" s="137" t="s">
        <v>225</v>
      </c>
      <c r="B38" s="138">
        <v>251</v>
      </c>
      <c r="C38" s="291">
        <v>0</v>
      </c>
      <c r="D38" s="291">
        <v>0</v>
      </c>
      <c r="E38" s="291">
        <v>0</v>
      </c>
      <c r="F38" s="292">
        <v>0</v>
      </c>
    </row>
    <row r="39" spans="1:6" ht="12">
      <c r="A39" s="139" t="s">
        <v>228</v>
      </c>
      <c r="B39" s="138">
        <v>252</v>
      </c>
      <c r="C39" s="291">
        <v>0</v>
      </c>
      <c r="D39" s="291">
        <v>0</v>
      </c>
      <c r="E39" s="291">
        <v>0</v>
      </c>
      <c r="F39" s="292">
        <v>0</v>
      </c>
    </row>
    <row r="40" spans="1:6" ht="12">
      <c r="A40" s="139" t="s">
        <v>229</v>
      </c>
      <c r="B40" s="138">
        <v>253</v>
      </c>
      <c r="C40" s="291">
        <v>0</v>
      </c>
      <c r="D40" s="291">
        <v>0</v>
      </c>
      <c r="E40" s="291">
        <v>0</v>
      </c>
      <c r="F40" s="292">
        <v>0</v>
      </c>
    </row>
    <row r="41" spans="1:6" ht="12">
      <c r="A41" s="129" t="s">
        <v>230</v>
      </c>
      <c r="B41" s="127">
        <v>260</v>
      </c>
      <c r="C41" s="284">
        <v>564</v>
      </c>
      <c r="D41" s="284">
        <v>200</v>
      </c>
      <c r="E41" s="284">
        <v>8245</v>
      </c>
      <c r="F41" s="284">
        <v>530</v>
      </c>
    </row>
    <row r="42" spans="1:6" ht="12">
      <c r="A42" s="137" t="s">
        <v>231</v>
      </c>
      <c r="B42" s="138">
        <v>261</v>
      </c>
      <c r="C42" s="287">
        <v>0</v>
      </c>
      <c r="D42" s="287">
        <v>0</v>
      </c>
      <c r="E42" s="287">
        <v>0</v>
      </c>
      <c r="F42" s="288">
        <v>0</v>
      </c>
    </row>
    <row r="43" spans="1:6" ht="12">
      <c r="A43" s="139" t="s">
        <v>232</v>
      </c>
      <c r="B43" s="138">
        <v>262</v>
      </c>
      <c r="C43" s="289">
        <v>564</v>
      </c>
      <c r="D43" s="289">
        <v>200</v>
      </c>
      <c r="E43" s="289">
        <v>8245</v>
      </c>
      <c r="F43" s="290">
        <v>530</v>
      </c>
    </row>
    <row r="44" spans="1:6" ht="12">
      <c r="A44" s="139" t="s">
        <v>233</v>
      </c>
      <c r="B44" s="138">
        <v>263</v>
      </c>
      <c r="C44" s="289">
        <v>0</v>
      </c>
      <c r="D44" s="289">
        <v>0</v>
      </c>
      <c r="E44" s="289">
        <v>0</v>
      </c>
      <c r="F44" s="290">
        <v>0</v>
      </c>
    </row>
    <row r="45" spans="1:6" ht="12">
      <c r="A45" s="139" t="s">
        <v>234</v>
      </c>
      <c r="B45" s="138">
        <v>264</v>
      </c>
      <c r="C45" s="289">
        <v>0</v>
      </c>
      <c r="D45" s="289">
        <v>10000</v>
      </c>
      <c r="E45" s="289">
        <v>0</v>
      </c>
      <c r="F45" s="290">
        <v>0</v>
      </c>
    </row>
    <row r="46" spans="1:6" ht="12">
      <c r="A46" s="129" t="s">
        <v>235</v>
      </c>
      <c r="B46" s="127">
        <v>270</v>
      </c>
      <c r="C46" s="281">
        <v>0</v>
      </c>
      <c r="D46" s="281">
        <v>0</v>
      </c>
      <c r="E46" s="281">
        <v>0</v>
      </c>
      <c r="F46" s="282">
        <v>0</v>
      </c>
    </row>
    <row r="47" spans="1:6" ht="12">
      <c r="A47" s="132" t="s">
        <v>236</v>
      </c>
      <c r="B47" s="127">
        <v>290</v>
      </c>
      <c r="C47" s="284">
        <f>C41+C37+C30+C24+C23+C15+C46</f>
        <v>49733</v>
      </c>
      <c r="D47" s="284">
        <f>D41+D37+D30+D24+D23+D15+D46</f>
        <v>68263</v>
      </c>
      <c r="E47" s="284">
        <f>E41+E37+E30+E24+E23+E15+E46</f>
        <v>89097</v>
      </c>
      <c r="F47" s="284">
        <f>F41+F37+F30+F24+F23+F15+F46</f>
        <v>101998</v>
      </c>
    </row>
    <row r="48" spans="1:6" ht="12">
      <c r="A48" s="132" t="s">
        <v>237</v>
      </c>
      <c r="B48" s="127">
        <v>300</v>
      </c>
      <c r="C48" s="284">
        <f>C47+C13</f>
        <v>124052</v>
      </c>
      <c r="D48" s="284">
        <f>D47+D13</f>
        <v>146535</v>
      </c>
      <c r="E48" s="284">
        <f>E47+E13</f>
        <v>140873</v>
      </c>
      <c r="F48" s="284">
        <f>F47+F13</f>
        <v>155052</v>
      </c>
    </row>
    <row r="49" spans="1:6" ht="12">
      <c r="A49" s="218"/>
      <c r="B49" s="148"/>
      <c r="C49" s="149"/>
      <c r="D49" s="149"/>
      <c r="E49" s="149"/>
      <c r="F49" s="149"/>
    </row>
    <row r="50" spans="1:6" ht="12">
      <c r="A50" s="220"/>
      <c r="B50" s="221"/>
      <c r="C50" s="222"/>
      <c r="D50" s="222"/>
      <c r="E50" s="222"/>
      <c r="F50" s="222"/>
    </row>
    <row r="51" spans="1:6" ht="12">
      <c r="A51" s="147" t="s">
        <v>962</v>
      </c>
      <c r="B51" s="128"/>
      <c r="C51" s="133">
        <f>73257+20246</f>
        <v>93503</v>
      </c>
      <c r="D51" s="133">
        <v>99063</v>
      </c>
      <c r="E51" s="133">
        <v>100957</v>
      </c>
      <c r="F51" s="133">
        <v>115915</v>
      </c>
    </row>
    <row r="52" spans="1:6" ht="12">
      <c r="A52" s="216" t="s">
        <v>974</v>
      </c>
      <c r="B52" s="219"/>
      <c r="C52" s="143" t="s">
        <v>387</v>
      </c>
      <c r="D52" s="143" t="s">
        <v>387</v>
      </c>
      <c r="E52" s="143" t="s">
        <v>387</v>
      </c>
      <c r="F52" s="143" t="s">
        <v>387</v>
      </c>
    </row>
    <row r="53" spans="1:6" ht="12">
      <c r="A53" s="216" t="s">
        <v>975</v>
      </c>
      <c r="B53" s="219"/>
      <c r="C53" s="143">
        <f>SUM(C51:C52)</f>
        <v>93503</v>
      </c>
      <c r="D53" s="143">
        <f>SUM(D51:D52)</f>
        <v>99063</v>
      </c>
      <c r="E53" s="143">
        <f>SUM(E51:E52)</f>
        <v>100957</v>
      </c>
      <c r="F53" s="143">
        <f>SUM(F51:F52)</f>
        <v>115915</v>
      </c>
    </row>
    <row r="54" spans="1:7" ht="12">
      <c r="A54" s="517"/>
      <c r="B54" s="517"/>
      <c r="C54" s="517"/>
      <c r="D54" s="517"/>
      <c r="E54" s="517"/>
      <c r="F54" s="517"/>
      <c r="G54" s="517"/>
    </row>
    <row r="55" spans="1:6" ht="12">
      <c r="A55" s="518" t="s">
        <v>820</v>
      </c>
      <c r="B55" s="519"/>
      <c r="C55" s="519"/>
      <c r="D55" s="519"/>
      <c r="E55" s="519"/>
      <c r="F55" s="520"/>
    </row>
    <row r="56" spans="1:5" ht="12">
      <c r="A56" s="124" t="s">
        <v>268</v>
      </c>
      <c r="B56" s="124" t="s">
        <v>83</v>
      </c>
      <c r="C56" s="123">
        <v>2002</v>
      </c>
      <c r="D56" s="123">
        <v>2003</v>
      </c>
      <c r="E56" s="144">
        <v>2004</v>
      </c>
    </row>
    <row r="57" spans="1:5" ht="12">
      <c r="A57" s="145" t="s">
        <v>720</v>
      </c>
      <c r="B57" s="128">
        <v>610</v>
      </c>
      <c r="C57" s="293">
        <v>53120</v>
      </c>
      <c r="D57" s="293">
        <v>61764</v>
      </c>
      <c r="E57" s="507">
        <v>82477</v>
      </c>
    </row>
    <row r="58" spans="1:5" ht="12">
      <c r="A58" s="145" t="s">
        <v>721</v>
      </c>
      <c r="B58" s="146">
        <v>620</v>
      </c>
      <c r="C58" s="293">
        <v>14703</v>
      </c>
      <c r="D58" s="293">
        <v>15045</v>
      </c>
      <c r="E58" s="507">
        <v>18525</v>
      </c>
    </row>
    <row r="59" spans="1:5" ht="12">
      <c r="A59" s="145" t="s">
        <v>722</v>
      </c>
      <c r="B59" s="146">
        <v>630</v>
      </c>
      <c r="C59" s="293">
        <v>3655</v>
      </c>
      <c r="D59" s="293">
        <v>3210</v>
      </c>
      <c r="E59" s="507">
        <v>1996</v>
      </c>
    </row>
    <row r="60" spans="1:5" ht="12">
      <c r="A60" s="145" t="s">
        <v>723</v>
      </c>
      <c r="B60" s="128">
        <v>640</v>
      </c>
      <c r="C60" s="293">
        <v>2355</v>
      </c>
      <c r="D60" s="293">
        <v>3256</v>
      </c>
      <c r="E60" s="507">
        <v>7856</v>
      </c>
    </row>
    <row r="61" spans="1:5" ht="12">
      <c r="A61" s="145" t="s">
        <v>724</v>
      </c>
      <c r="B61" s="128">
        <v>650</v>
      </c>
      <c r="C61" s="293">
        <v>6864</v>
      </c>
      <c r="D61" s="293">
        <v>2850</v>
      </c>
      <c r="E61" s="507">
        <v>8476</v>
      </c>
    </row>
    <row r="62" spans="1:5" ht="12">
      <c r="A62" s="147" t="s">
        <v>725</v>
      </c>
      <c r="B62" s="128">
        <v>660</v>
      </c>
      <c r="C62" s="284">
        <f>SUM(C57:C61)</f>
        <v>80697</v>
      </c>
      <c r="D62" s="284">
        <f>SUM(D57:D61)</f>
        <v>86125</v>
      </c>
      <c r="E62" s="284">
        <f>SUM(E57:E61)</f>
        <v>119330</v>
      </c>
    </row>
    <row r="63" spans="1:6" ht="12">
      <c r="A63" s="147" t="s">
        <v>802</v>
      </c>
      <c r="B63" s="128"/>
      <c r="C63" s="284">
        <v>775</v>
      </c>
      <c r="D63" s="284">
        <v>776</v>
      </c>
      <c r="E63" s="299">
        <v>777</v>
      </c>
      <c r="F63" s="143"/>
    </row>
    <row r="64" spans="1:6" ht="12">
      <c r="A64" s="217"/>
      <c r="B64" s="217"/>
      <c r="C64" s="217"/>
      <c r="D64" s="217"/>
      <c r="E64" s="217"/>
      <c r="F64" s="509"/>
    </row>
    <row r="65" spans="1:6" ht="12">
      <c r="A65" s="216"/>
      <c r="B65" s="215"/>
      <c r="C65" s="143"/>
      <c r="D65" s="143"/>
      <c r="E65" s="143"/>
      <c r="F65" s="143"/>
    </row>
    <row r="66" spans="1:6" ht="24.75" customHeight="1">
      <c r="A66" s="189" t="s">
        <v>694</v>
      </c>
      <c r="B66" s="190" t="s">
        <v>83</v>
      </c>
      <c r="C66" s="144">
        <v>2001</v>
      </c>
      <c r="D66" s="144">
        <v>2002</v>
      </c>
      <c r="E66" s="144">
        <v>2003</v>
      </c>
      <c r="F66" s="144">
        <v>2004</v>
      </c>
    </row>
    <row r="67" spans="1:6" ht="12">
      <c r="A67" s="187" t="s">
        <v>238</v>
      </c>
      <c r="B67" s="188"/>
      <c r="C67" s="189"/>
      <c r="D67" s="189"/>
      <c r="E67" s="189"/>
      <c r="F67" s="189"/>
    </row>
    <row r="68" spans="1:6" ht="12">
      <c r="A68" s="150" t="s">
        <v>973</v>
      </c>
      <c r="B68" s="151"/>
      <c r="C68" s="152"/>
      <c r="D68" s="152"/>
      <c r="E68" s="152"/>
      <c r="F68" s="153"/>
    </row>
    <row r="69" spans="1:6" ht="12">
      <c r="A69" s="129" t="s">
        <v>309</v>
      </c>
      <c r="B69" s="127">
        <v>410</v>
      </c>
      <c r="C69" s="281">
        <v>11</v>
      </c>
      <c r="D69" s="281">
        <v>11</v>
      </c>
      <c r="E69" s="281">
        <v>21800</v>
      </c>
      <c r="F69" s="281">
        <v>21800</v>
      </c>
    </row>
    <row r="70" spans="1:6" ht="24" customHeight="1">
      <c r="A70" s="141" t="s">
        <v>832</v>
      </c>
      <c r="B70" s="127"/>
      <c r="C70" s="281"/>
      <c r="D70" s="281"/>
      <c r="E70" s="281"/>
      <c r="F70" s="283"/>
    </row>
    <row r="71" spans="1:6" ht="12">
      <c r="A71" s="129" t="s">
        <v>239</v>
      </c>
      <c r="B71" s="127">
        <v>420</v>
      </c>
      <c r="C71" s="281">
        <v>41577</v>
      </c>
      <c r="D71" s="281">
        <v>44224</v>
      </c>
      <c r="E71" s="281">
        <v>9469</v>
      </c>
      <c r="F71" s="282">
        <v>9285</v>
      </c>
    </row>
    <row r="72" spans="1:6" ht="12">
      <c r="A72" s="129" t="s">
        <v>240</v>
      </c>
      <c r="B72" s="127">
        <v>430</v>
      </c>
      <c r="C72" s="284">
        <v>296</v>
      </c>
      <c r="D72" s="284">
        <v>0</v>
      </c>
      <c r="E72" s="284">
        <v>0</v>
      </c>
      <c r="F72" s="284">
        <v>0</v>
      </c>
    </row>
    <row r="73" spans="1:6" ht="24">
      <c r="A73" s="137" t="s">
        <v>241</v>
      </c>
      <c r="B73" s="138">
        <v>431</v>
      </c>
      <c r="C73" s="289"/>
      <c r="D73" s="289"/>
      <c r="E73" s="289">
        <v>0</v>
      </c>
      <c r="F73" s="290">
        <v>0</v>
      </c>
    </row>
    <row r="74" spans="1:6" ht="12">
      <c r="A74" s="139" t="s">
        <v>242</v>
      </c>
      <c r="B74" s="138">
        <v>432</v>
      </c>
      <c r="C74" s="289">
        <v>0</v>
      </c>
      <c r="D74" s="289">
        <v>0</v>
      </c>
      <c r="E74" s="289">
        <v>0</v>
      </c>
      <c r="F74" s="290">
        <v>0</v>
      </c>
    </row>
    <row r="75" spans="1:6" ht="12">
      <c r="A75" s="129" t="s">
        <v>243</v>
      </c>
      <c r="B75" s="127">
        <v>440</v>
      </c>
      <c r="C75" s="281">
        <v>2643</v>
      </c>
      <c r="D75" s="281">
        <v>0</v>
      </c>
      <c r="E75" s="281">
        <v>0</v>
      </c>
      <c r="F75" s="282">
        <v>0</v>
      </c>
    </row>
    <row r="76" spans="1:6" ht="12">
      <c r="A76" s="129" t="s">
        <v>244</v>
      </c>
      <c r="B76" s="127">
        <v>450</v>
      </c>
      <c r="C76" s="281">
        <v>0</v>
      </c>
      <c r="D76" s="281">
        <v>0</v>
      </c>
      <c r="E76" s="281">
        <v>0</v>
      </c>
      <c r="F76" s="282">
        <v>0</v>
      </c>
    </row>
    <row r="77" spans="1:6" ht="12">
      <c r="A77" s="129" t="s">
        <v>245</v>
      </c>
      <c r="B77" s="127">
        <v>460</v>
      </c>
      <c r="C77" s="281">
        <v>41443</v>
      </c>
      <c r="D77" s="281">
        <v>50468</v>
      </c>
      <c r="E77" s="122">
        <v>0</v>
      </c>
      <c r="F77" s="122">
        <v>0</v>
      </c>
    </row>
    <row r="78" spans="1:6" ht="12">
      <c r="A78" s="129" t="s">
        <v>833</v>
      </c>
      <c r="B78" s="127">
        <v>465</v>
      </c>
      <c r="C78" s="281">
        <v>0</v>
      </c>
      <c r="D78" s="281">
        <v>0</v>
      </c>
      <c r="E78" s="281">
        <v>0</v>
      </c>
      <c r="F78" s="281">
        <v>0</v>
      </c>
    </row>
    <row r="79" spans="1:6" ht="12">
      <c r="A79" s="129" t="s">
        <v>246</v>
      </c>
      <c r="B79" s="127">
        <v>470</v>
      </c>
      <c r="C79" s="281">
        <v>10181</v>
      </c>
      <c r="D79" s="281">
        <v>15730</v>
      </c>
      <c r="E79" s="281">
        <v>57920</v>
      </c>
      <c r="F79" s="282">
        <v>91481</v>
      </c>
    </row>
    <row r="80" spans="1:6" ht="12">
      <c r="A80" s="129" t="s">
        <v>834</v>
      </c>
      <c r="B80" s="127">
        <v>475</v>
      </c>
      <c r="C80" s="281">
        <v>0</v>
      </c>
      <c r="D80" s="281">
        <v>0</v>
      </c>
      <c r="E80" s="281">
        <v>0</v>
      </c>
      <c r="F80" s="282">
        <v>0</v>
      </c>
    </row>
    <row r="81" spans="1:6" ht="12">
      <c r="A81" s="132" t="s">
        <v>992</v>
      </c>
      <c r="B81" s="127">
        <v>490</v>
      </c>
      <c r="C81" s="284">
        <f>SUM(C69:C80)-C73-C74</f>
        <v>96151</v>
      </c>
      <c r="D81" s="284">
        <f>SUM(D69:D80)-D73-D74</f>
        <v>110433</v>
      </c>
      <c r="E81" s="284">
        <f>SUM(E69:E80)-E73-E74</f>
        <v>89189</v>
      </c>
      <c r="F81" s="284">
        <f>SUM(F69:F80)-F73-F74</f>
        <v>122566</v>
      </c>
    </row>
    <row r="82" spans="1:6" ht="12">
      <c r="A82" s="155" t="s">
        <v>979</v>
      </c>
      <c r="B82" s="127"/>
      <c r="C82" s="293"/>
      <c r="D82" s="293"/>
      <c r="E82" s="293"/>
      <c r="F82" s="294"/>
    </row>
    <row r="83" spans="1:6" ht="12">
      <c r="A83" s="129" t="s">
        <v>248</v>
      </c>
      <c r="B83" s="127">
        <v>510</v>
      </c>
      <c r="C83" s="284">
        <v>306</v>
      </c>
      <c r="D83" s="284">
        <v>306</v>
      </c>
      <c r="E83" s="284">
        <v>306</v>
      </c>
      <c r="F83" s="284">
        <v>306</v>
      </c>
    </row>
    <row r="84" spans="1:6" ht="24">
      <c r="A84" s="137" t="s">
        <v>249</v>
      </c>
      <c r="B84" s="138">
        <v>511</v>
      </c>
      <c r="C84" s="295">
        <v>0</v>
      </c>
      <c r="D84" s="295">
        <v>0</v>
      </c>
      <c r="E84" s="295">
        <v>0</v>
      </c>
      <c r="F84" s="296">
        <v>0</v>
      </c>
    </row>
    <row r="85" spans="1:6" ht="12">
      <c r="A85" s="139" t="s">
        <v>250</v>
      </c>
      <c r="B85" s="138">
        <v>512</v>
      </c>
      <c r="C85" s="295">
        <v>306</v>
      </c>
      <c r="D85" s="295">
        <v>306</v>
      </c>
      <c r="E85" s="295">
        <v>306</v>
      </c>
      <c r="F85" s="296">
        <v>306</v>
      </c>
    </row>
    <row r="86" spans="1:6" ht="12">
      <c r="A86" s="129" t="s">
        <v>786</v>
      </c>
      <c r="B86" s="138">
        <v>515</v>
      </c>
      <c r="C86" s="281">
        <v>0</v>
      </c>
      <c r="D86" s="281">
        <v>0</v>
      </c>
      <c r="E86" s="281">
        <v>8229</v>
      </c>
      <c r="F86" s="282">
        <v>1714</v>
      </c>
    </row>
    <row r="87" spans="1:6" ht="12">
      <c r="A87" s="129" t="s">
        <v>793</v>
      </c>
      <c r="B87" s="127">
        <v>520</v>
      </c>
      <c r="C87" s="281">
        <v>5014</v>
      </c>
      <c r="D87" s="281">
        <v>6272</v>
      </c>
      <c r="E87" s="281">
        <v>4311</v>
      </c>
      <c r="F87" s="282">
        <v>505</v>
      </c>
    </row>
    <row r="88" spans="1:6" ht="12">
      <c r="A88" s="132" t="s">
        <v>247</v>
      </c>
      <c r="B88" s="127">
        <v>590</v>
      </c>
      <c r="C88" s="284">
        <f>C87+C83</f>
        <v>5320</v>
      </c>
      <c r="D88" s="284">
        <f>D87+D83</f>
        <v>6578</v>
      </c>
      <c r="E88" s="284">
        <f>E83+E86+E87</f>
        <v>12846</v>
      </c>
      <c r="F88" s="284">
        <f>F83+F86+F87</f>
        <v>2525</v>
      </c>
    </row>
    <row r="89" spans="1:6" ht="12">
      <c r="A89" s="155" t="s">
        <v>991</v>
      </c>
      <c r="B89" s="157"/>
      <c r="C89" s="297"/>
      <c r="D89" s="297"/>
      <c r="E89" s="297"/>
      <c r="F89" s="298"/>
    </row>
    <row r="90" spans="1:6" ht="12">
      <c r="A90" s="129" t="s">
        <v>251</v>
      </c>
      <c r="B90" s="127">
        <v>610</v>
      </c>
      <c r="C90" s="299">
        <v>786</v>
      </c>
      <c r="D90" s="299">
        <v>5898</v>
      </c>
      <c r="E90" s="299">
        <v>25000</v>
      </c>
      <c r="F90" s="284">
        <v>16327</v>
      </c>
    </row>
    <row r="91" spans="1:6" ht="12">
      <c r="A91" s="137" t="s">
        <v>252</v>
      </c>
      <c r="B91" s="138">
        <v>611</v>
      </c>
      <c r="C91" s="289">
        <v>786</v>
      </c>
      <c r="D91" s="289">
        <v>5898</v>
      </c>
      <c r="E91" s="289">
        <v>25000</v>
      </c>
      <c r="F91" s="290">
        <v>62327</v>
      </c>
    </row>
    <row r="92" spans="1:6" ht="12">
      <c r="A92" s="139" t="s">
        <v>253</v>
      </c>
      <c r="B92" s="138">
        <v>612</v>
      </c>
      <c r="C92" s="289">
        <v>0</v>
      </c>
      <c r="D92" s="289">
        <v>0</v>
      </c>
      <c r="E92" s="289">
        <v>0</v>
      </c>
      <c r="F92" s="290">
        <v>0</v>
      </c>
    </row>
    <row r="93" spans="1:6" ht="12">
      <c r="A93" s="129" t="s">
        <v>254</v>
      </c>
      <c r="B93" s="127">
        <v>620</v>
      </c>
      <c r="C93" s="284">
        <v>21795</v>
      </c>
      <c r="D93" s="284">
        <v>23626</v>
      </c>
      <c r="E93" s="284">
        <v>13838</v>
      </c>
      <c r="F93" s="284">
        <v>13634</v>
      </c>
    </row>
    <row r="94" spans="1:6" ht="12">
      <c r="A94" s="137" t="s">
        <v>255</v>
      </c>
      <c r="B94" s="138">
        <v>621</v>
      </c>
      <c r="C94" s="289">
        <v>7711</v>
      </c>
      <c r="D94" s="289">
        <v>7936</v>
      </c>
      <c r="E94" s="289">
        <v>7801</v>
      </c>
      <c r="F94" s="290">
        <v>7337</v>
      </c>
    </row>
    <row r="95" spans="1:6" ht="12">
      <c r="A95" s="139" t="s">
        <v>256</v>
      </c>
      <c r="B95" s="138">
        <v>622</v>
      </c>
      <c r="C95" s="289">
        <v>0</v>
      </c>
      <c r="D95" s="289">
        <v>0</v>
      </c>
      <c r="E95" s="289">
        <v>0</v>
      </c>
      <c r="F95" s="290">
        <v>0</v>
      </c>
    </row>
    <row r="96" spans="1:6" ht="12">
      <c r="A96" s="139" t="s">
        <v>257</v>
      </c>
      <c r="B96" s="138">
        <v>623</v>
      </c>
      <c r="C96" s="289">
        <v>0</v>
      </c>
      <c r="D96" s="289">
        <v>0</v>
      </c>
      <c r="E96" s="289">
        <v>0</v>
      </c>
      <c r="F96" s="290">
        <v>0</v>
      </c>
    </row>
    <row r="97" spans="1:6" ht="12">
      <c r="A97" s="139" t="s">
        <v>258</v>
      </c>
      <c r="B97" s="138">
        <v>624</v>
      </c>
      <c r="C97" s="289">
        <v>810</v>
      </c>
      <c r="D97" s="289">
        <v>885</v>
      </c>
      <c r="E97" s="289">
        <v>665</v>
      </c>
      <c r="F97" s="290">
        <v>673</v>
      </c>
    </row>
    <row r="98" spans="1:6" ht="12">
      <c r="A98" s="139" t="s">
        <v>259</v>
      </c>
      <c r="B98" s="138">
        <v>625</v>
      </c>
      <c r="C98" s="289">
        <v>8654</v>
      </c>
      <c r="D98" s="289">
        <v>8102</v>
      </c>
      <c r="E98" s="289">
        <v>227</v>
      </c>
      <c r="F98" s="290">
        <v>7</v>
      </c>
    </row>
    <row r="99" spans="1:6" ht="12">
      <c r="A99" s="139" t="s">
        <v>260</v>
      </c>
      <c r="B99" s="138">
        <v>626</v>
      </c>
      <c r="C99" s="289">
        <v>106</v>
      </c>
      <c r="D99" s="289">
        <v>126</v>
      </c>
      <c r="E99" s="289">
        <v>0</v>
      </c>
      <c r="F99" s="290">
        <v>0</v>
      </c>
    </row>
    <row r="100" spans="1:6" ht="12">
      <c r="A100" s="139" t="s">
        <v>261</v>
      </c>
      <c r="B100" s="138">
        <v>627</v>
      </c>
      <c r="C100" s="289">
        <v>0</v>
      </c>
      <c r="D100" s="289">
        <v>0</v>
      </c>
      <c r="E100" s="289">
        <v>0</v>
      </c>
      <c r="F100" s="290">
        <v>0</v>
      </c>
    </row>
    <row r="101" spans="1:6" ht="12">
      <c r="A101" s="139" t="s">
        <v>262</v>
      </c>
      <c r="B101" s="138">
        <v>628</v>
      </c>
      <c r="C101" s="289">
        <v>4514</v>
      </c>
      <c r="D101" s="289">
        <v>6577</v>
      </c>
      <c r="E101" s="289">
        <v>4894</v>
      </c>
      <c r="F101" s="290">
        <v>5404</v>
      </c>
    </row>
    <row r="102" spans="1:6" ht="12">
      <c r="A102" s="129" t="s">
        <v>263</v>
      </c>
      <c r="B102" s="127">
        <v>630</v>
      </c>
      <c r="C102" s="281">
        <v>0</v>
      </c>
      <c r="D102" s="281">
        <v>0</v>
      </c>
      <c r="E102" s="281">
        <v>0</v>
      </c>
      <c r="F102" s="282">
        <v>0</v>
      </c>
    </row>
    <row r="103" spans="1:6" ht="12">
      <c r="A103" s="129" t="s">
        <v>264</v>
      </c>
      <c r="B103" s="127">
        <v>640</v>
      </c>
      <c r="C103" s="281">
        <v>0</v>
      </c>
      <c r="D103" s="281">
        <v>0</v>
      </c>
      <c r="E103" s="281">
        <v>0</v>
      </c>
      <c r="F103" s="282">
        <v>0</v>
      </c>
    </row>
    <row r="104" spans="1:6" ht="12">
      <c r="A104" s="129" t="s">
        <v>265</v>
      </c>
      <c r="B104" s="127">
        <v>650</v>
      </c>
      <c r="C104" s="281">
        <v>0</v>
      </c>
      <c r="D104" s="281">
        <v>0</v>
      </c>
      <c r="E104" s="281">
        <v>0</v>
      </c>
      <c r="F104" s="282">
        <v>0</v>
      </c>
    </row>
    <row r="105" spans="1:6" ht="12">
      <c r="A105" s="129" t="s">
        <v>266</v>
      </c>
      <c r="B105" s="127">
        <v>660</v>
      </c>
      <c r="C105" s="281">
        <v>0</v>
      </c>
      <c r="D105" s="281">
        <v>0</v>
      </c>
      <c r="E105" s="281">
        <v>0</v>
      </c>
      <c r="F105" s="282">
        <v>0</v>
      </c>
    </row>
    <row r="106" spans="1:6" ht="12">
      <c r="A106" s="132" t="s">
        <v>1008</v>
      </c>
      <c r="B106" s="127">
        <v>690</v>
      </c>
      <c r="C106" s="284">
        <f>SUM(C102:C105)+C93+C90</f>
        <v>22581</v>
      </c>
      <c r="D106" s="284">
        <f>SUM(D102:D105)+D93+D90</f>
        <v>29524</v>
      </c>
      <c r="E106" s="284">
        <f>SUM(E102:E105)+E93+E90</f>
        <v>38838</v>
      </c>
      <c r="F106" s="284">
        <f>SUM(F102:F105)+F93+F90</f>
        <v>29961</v>
      </c>
    </row>
    <row r="107" spans="1:6" ht="12">
      <c r="A107" s="132" t="s">
        <v>267</v>
      </c>
      <c r="B107" s="127">
        <v>700</v>
      </c>
      <c r="C107" s="284">
        <f>C106+C88+C81</f>
        <v>124052</v>
      </c>
      <c r="D107" s="284">
        <f>D106+D88+D81</f>
        <v>146535</v>
      </c>
      <c r="E107" s="284">
        <f>E106+E88+E81</f>
        <v>140873</v>
      </c>
      <c r="F107" s="284">
        <f>F106+F88+F81</f>
        <v>155052</v>
      </c>
    </row>
    <row r="108" spans="1:5" ht="12">
      <c r="A108" s="158"/>
      <c r="B108" s="135"/>
      <c r="C108" s="136"/>
      <c r="D108" s="159"/>
      <c r="E108" s="160"/>
    </row>
    <row r="109" spans="1:5" ht="12">
      <c r="A109" s="514" t="s">
        <v>693</v>
      </c>
      <c r="B109" s="515"/>
      <c r="C109" s="515"/>
      <c r="D109" s="515"/>
      <c r="E109" s="516"/>
    </row>
    <row r="110" spans="1:5" ht="12">
      <c r="A110" s="124" t="s">
        <v>268</v>
      </c>
      <c r="B110" s="124" t="s">
        <v>83</v>
      </c>
      <c r="C110" s="123">
        <v>2002</v>
      </c>
      <c r="D110" s="123">
        <v>2003</v>
      </c>
      <c r="E110" s="144">
        <v>2004</v>
      </c>
    </row>
    <row r="111" spans="1:5" ht="36">
      <c r="A111" s="161" t="s">
        <v>269</v>
      </c>
      <c r="B111" s="162" t="s">
        <v>678</v>
      </c>
      <c r="C111" s="163">
        <v>65747</v>
      </c>
      <c r="D111" s="163">
        <v>65909</v>
      </c>
      <c r="E111" s="163">
        <v>122618</v>
      </c>
    </row>
    <row r="112" spans="1:5" ht="12">
      <c r="A112" s="164" t="s">
        <v>270</v>
      </c>
      <c r="B112" s="165" t="s">
        <v>679</v>
      </c>
      <c r="C112" s="154">
        <v>0</v>
      </c>
      <c r="D112" s="166">
        <v>0</v>
      </c>
      <c r="E112" s="140">
        <v>0</v>
      </c>
    </row>
    <row r="113" spans="1:5" ht="12">
      <c r="A113" s="164"/>
      <c r="B113" s="165" t="s">
        <v>680</v>
      </c>
      <c r="C113" s="154">
        <v>0</v>
      </c>
      <c r="D113" s="166">
        <v>0</v>
      </c>
      <c r="E113" s="140">
        <v>0</v>
      </c>
    </row>
    <row r="114" spans="1:5" ht="12">
      <c r="A114" s="167" t="s">
        <v>271</v>
      </c>
      <c r="B114" s="162" t="s">
        <v>681</v>
      </c>
      <c r="C114" s="133">
        <v>55674</v>
      </c>
      <c r="D114" s="133">
        <v>56337</v>
      </c>
      <c r="E114" s="133">
        <v>94308</v>
      </c>
    </row>
    <row r="115" spans="1:5" ht="12">
      <c r="A115" s="168" t="s">
        <v>272</v>
      </c>
      <c r="B115" s="165" t="s">
        <v>682</v>
      </c>
      <c r="C115" s="154">
        <v>0</v>
      </c>
      <c r="D115" s="166">
        <v>0</v>
      </c>
      <c r="E115" s="140">
        <v>0</v>
      </c>
    </row>
    <row r="116" spans="1:5" ht="12">
      <c r="A116" s="168"/>
      <c r="B116" s="165" t="s">
        <v>683</v>
      </c>
      <c r="C116" s="154">
        <v>0</v>
      </c>
      <c r="D116" s="166">
        <v>0</v>
      </c>
      <c r="E116" s="140">
        <v>0</v>
      </c>
    </row>
    <row r="117" spans="1:5" ht="12">
      <c r="A117" s="168" t="s">
        <v>273</v>
      </c>
      <c r="B117" s="165" t="s">
        <v>684</v>
      </c>
      <c r="C117" s="133">
        <f>C111-C114</f>
        <v>10073</v>
      </c>
      <c r="D117" s="155">
        <f>D111-D114</f>
        <v>9572</v>
      </c>
      <c r="E117" s="133">
        <f>E111-E114</f>
        <v>28310</v>
      </c>
    </row>
    <row r="118" spans="1:5" ht="12">
      <c r="A118" s="168" t="s">
        <v>274</v>
      </c>
      <c r="B118" s="165" t="s">
        <v>685</v>
      </c>
      <c r="C118" s="130">
        <v>0</v>
      </c>
      <c r="D118" s="169">
        <v>0</v>
      </c>
      <c r="E118" s="131">
        <v>0</v>
      </c>
    </row>
    <row r="119" spans="1:5" ht="12">
      <c r="A119" s="168" t="s">
        <v>275</v>
      </c>
      <c r="B119" s="165" t="s">
        <v>686</v>
      </c>
      <c r="C119" s="130">
        <v>0</v>
      </c>
      <c r="D119" s="169">
        <v>0</v>
      </c>
      <c r="E119" s="131">
        <v>0</v>
      </c>
    </row>
    <row r="120" spans="1:5" ht="12">
      <c r="A120" s="167" t="s">
        <v>276</v>
      </c>
      <c r="B120" s="162" t="s">
        <v>687</v>
      </c>
      <c r="C120" s="133">
        <f>C117-C118-C119</f>
        <v>10073</v>
      </c>
      <c r="D120" s="155">
        <f>D117-D118-D119</f>
        <v>9572</v>
      </c>
      <c r="E120" s="155">
        <f>E117-E118-E119</f>
        <v>28310</v>
      </c>
    </row>
    <row r="121" spans="1:5" ht="24">
      <c r="A121" s="161" t="s">
        <v>835</v>
      </c>
      <c r="B121" s="170" t="s">
        <v>688</v>
      </c>
      <c r="C121" s="171">
        <v>0</v>
      </c>
      <c r="D121" s="172">
        <v>0</v>
      </c>
      <c r="E121" s="173">
        <v>0</v>
      </c>
    </row>
    <row r="122" spans="1:5" ht="12">
      <c r="A122" s="168" t="s">
        <v>277</v>
      </c>
      <c r="B122" s="165" t="s">
        <v>689</v>
      </c>
      <c r="C122" s="154">
        <v>2108</v>
      </c>
      <c r="D122" s="166">
        <v>3278</v>
      </c>
      <c r="E122" s="140">
        <v>2409</v>
      </c>
    </row>
    <row r="123" spans="1:5" ht="12">
      <c r="A123" s="168" t="s">
        <v>302</v>
      </c>
      <c r="B123" s="165" t="s">
        <v>690</v>
      </c>
      <c r="C123" s="154">
        <v>0</v>
      </c>
      <c r="D123" s="166">
        <v>0</v>
      </c>
      <c r="E123" s="140">
        <v>0</v>
      </c>
    </row>
    <row r="124" spans="1:5" ht="12">
      <c r="A124" s="168" t="s">
        <v>303</v>
      </c>
      <c r="B124" s="165" t="s">
        <v>691</v>
      </c>
      <c r="C124" s="154">
        <v>0</v>
      </c>
      <c r="D124" s="166">
        <v>0</v>
      </c>
      <c r="E124" s="166">
        <v>0</v>
      </c>
    </row>
    <row r="125" spans="1:5" ht="12">
      <c r="A125" s="168" t="s">
        <v>304</v>
      </c>
      <c r="B125" s="165">
        <v>100</v>
      </c>
      <c r="C125" s="154">
        <v>0</v>
      </c>
      <c r="D125" s="166">
        <v>0</v>
      </c>
      <c r="E125" s="166">
        <v>0</v>
      </c>
    </row>
    <row r="126" spans="1:5" ht="24">
      <c r="A126" s="161" t="s">
        <v>836</v>
      </c>
      <c r="B126" s="170">
        <v>120</v>
      </c>
      <c r="C126" s="171">
        <v>8150</v>
      </c>
      <c r="D126" s="172">
        <v>9831</v>
      </c>
      <c r="E126" s="173">
        <v>15803</v>
      </c>
    </row>
    <row r="127" spans="1:5" ht="12">
      <c r="A127" s="168" t="s">
        <v>305</v>
      </c>
      <c r="B127" s="165">
        <v>130</v>
      </c>
      <c r="C127" s="154">
        <v>0</v>
      </c>
      <c r="D127" s="166">
        <v>546</v>
      </c>
      <c r="E127" s="140">
        <v>3943</v>
      </c>
    </row>
    <row r="128" spans="1:5" ht="24">
      <c r="A128" s="161" t="s">
        <v>306</v>
      </c>
      <c r="B128" s="162">
        <v>140</v>
      </c>
      <c r="C128" s="133">
        <f>C120+C121-C122+C123+C124-C125+C126-C127</f>
        <v>16115</v>
      </c>
      <c r="D128" s="133">
        <f>D120+D121-D122+D123+D124-D125+D126-D127</f>
        <v>15579</v>
      </c>
      <c r="E128" s="133">
        <f>E120+E121-E122+E123+E124-E125+E126-E127</f>
        <v>37761</v>
      </c>
    </row>
    <row r="129" spans="1:5" ht="12">
      <c r="A129" s="164" t="s">
        <v>792</v>
      </c>
      <c r="B129" s="165" t="s">
        <v>787</v>
      </c>
      <c r="C129" s="142">
        <v>0</v>
      </c>
      <c r="D129" s="174">
        <v>0</v>
      </c>
      <c r="E129" s="175">
        <v>0</v>
      </c>
    </row>
    <row r="130" spans="1:5" ht="12">
      <c r="A130" s="164" t="s">
        <v>786</v>
      </c>
      <c r="B130" s="165" t="s">
        <v>788</v>
      </c>
      <c r="C130" s="142">
        <v>0</v>
      </c>
      <c r="D130" s="174">
        <v>0</v>
      </c>
      <c r="E130" s="175">
        <v>0</v>
      </c>
    </row>
    <row r="131" spans="1:5" ht="12">
      <c r="A131" s="168" t="s">
        <v>307</v>
      </c>
      <c r="B131" s="165">
        <v>150</v>
      </c>
      <c r="C131" s="176">
        <v>0</v>
      </c>
      <c r="D131" s="177">
        <v>0</v>
      </c>
      <c r="E131" s="156">
        <v>0</v>
      </c>
    </row>
    <row r="132" spans="1:5" ht="12">
      <c r="A132" s="167" t="s">
        <v>310</v>
      </c>
      <c r="B132" s="162">
        <v>160</v>
      </c>
      <c r="C132" s="169">
        <f>C128-C131</f>
        <v>16115</v>
      </c>
      <c r="D132" s="169">
        <f>D128-D131</f>
        <v>15579</v>
      </c>
      <c r="E132" s="169">
        <f>E128-E131</f>
        <v>37761</v>
      </c>
    </row>
    <row r="133" spans="1:5" ht="24">
      <c r="A133" s="178" t="s">
        <v>837</v>
      </c>
      <c r="B133" s="170">
        <v>170</v>
      </c>
      <c r="C133" s="179">
        <v>110</v>
      </c>
      <c r="D133" s="180">
        <v>347</v>
      </c>
      <c r="E133" s="181">
        <v>173</v>
      </c>
    </row>
    <row r="134" spans="1:5" ht="12">
      <c r="A134" s="182" t="s">
        <v>308</v>
      </c>
      <c r="B134" s="165">
        <v>180</v>
      </c>
      <c r="C134" s="176">
        <v>495</v>
      </c>
      <c r="D134" s="177">
        <v>0</v>
      </c>
      <c r="E134" s="156"/>
    </row>
    <row r="135" spans="1:5" ht="24">
      <c r="A135" s="178" t="s">
        <v>677</v>
      </c>
      <c r="B135" s="162">
        <v>190</v>
      </c>
      <c r="C135" s="133">
        <f>C132+C133-C134</f>
        <v>15730</v>
      </c>
      <c r="D135" s="155">
        <f>D132+D133-D134</f>
        <v>15926</v>
      </c>
      <c r="E135" s="133">
        <f>E132+E133-E134</f>
        <v>37934</v>
      </c>
    </row>
    <row r="136" spans="1:5" ht="12">
      <c r="A136" s="183" t="s">
        <v>789</v>
      </c>
      <c r="C136" s="184"/>
      <c r="D136" s="401"/>
      <c r="E136" s="402"/>
    </row>
  </sheetData>
  <sheetProtection/>
  <mergeCells count="4">
    <mergeCell ref="A2:F2"/>
    <mergeCell ref="A109:E109"/>
    <mergeCell ref="A54:G54"/>
    <mergeCell ref="A55:F55"/>
  </mergeCells>
  <printOptions/>
  <pageMargins left="0.75" right="0.75" top="1" bottom="1" header="0.5" footer="0.5"/>
  <pageSetup horizontalDpi="300" verticalDpi="300" orientation="portrait" paperSize="9" scale="71" r:id="rId1"/>
  <rowBreaks count="1" manualBreakCount="1">
    <brk id="65" max="255" man="1"/>
  </rowBreaks>
</worksheet>
</file>

<file path=xl/worksheets/sheet10.xml><?xml version="1.0" encoding="utf-8"?>
<worksheet xmlns="http://schemas.openxmlformats.org/spreadsheetml/2006/main" xmlns:r="http://schemas.openxmlformats.org/officeDocument/2006/relationships">
  <dimension ref="A1:K131"/>
  <sheetViews>
    <sheetView zoomScalePageLayoutView="0" workbookViewId="0" topLeftCell="A106">
      <selection activeCell="B97" sqref="B97:E97"/>
    </sheetView>
  </sheetViews>
  <sheetFormatPr defaultColWidth="9.00390625" defaultRowHeight="12.75"/>
  <cols>
    <col min="1" max="1" width="3.00390625" style="0" bestFit="1" customWidth="1"/>
    <col min="2" max="2" width="34.00390625" style="0" customWidth="1"/>
    <col min="3" max="3" width="12.875" style="0" customWidth="1"/>
    <col min="4" max="4" width="12.125" style="0" customWidth="1"/>
    <col min="5" max="5" width="12.00390625" style="0" customWidth="1"/>
    <col min="6" max="6" width="12.375" style="0" customWidth="1"/>
    <col min="7" max="7" width="9.125" style="0" hidden="1" customWidth="1"/>
    <col min="8" max="8" width="9.00390625" style="0" hidden="1" customWidth="1"/>
    <col min="9" max="10" width="9.125" style="0" hidden="1" customWidth="1"/>
  </cols>
  <sheetData>
    <row r="1" spans="2:11" ht="23.25" customHeight="1">
      <c r="B1" s="602" t="s">
        <v>433</v>
      </c>
      <c r="C1" s="602"/>
      <c r="D1" s="602"/>
      <c r="E1" s="602"/>
      <c r="F1" s="602"/>
      <c r="G1" s="602"/>
      <c r="H1" s="602"/>
      <c r="I1" s="602"/>
      <c r="J1" s="602"/>
      <c r="K1" s="14"/>
    </row>
    <row r="2" spans="2:11" ht="12.75">
      <c r="B2" s="329"/>
      <c r="C2" s="329"/>
      <c r="D2" s="329"/>
      <c r="E2" s="329"/>
      <c r="F2" s="329"/>
      <c r="G2" s="329"/>
      <c r="H2" s="329"/>
      <c r="I2" s="329"/>
      <c r="J2" s="329"/>
      <c r="K2" s="14"/>
    </row>
    <row r="3" spans="2:11" ht="13.5" thickBot="1">
      <c r="B3" s="329"/>
      <c r="C3" s="603" t="s">
        <v>434</v>
      </c>
      <c r="D3" s="603"/>
      <c r="E3" s="603"/>
      <c r="F3" s="603"/>
      <c r="G3" s="329"/>
      <c r="H3" s="329"/>
      <c r="I3" s="329"/>
      <c r="J3" s="329"/>
      <c r="K3" s="14"/>
    </row>
    <row r="4" spans="2:11" ht="13.5" thickBot="1">
      <c r="B4" s="359" t="s">
        <v>435</v>
      </c>
      <c r="C4" s="360">
        <f>C25</f>
        <v>37257</v>
      </c>
      <c r="D4" s="360">
        <f>D25</f>
        <v>37622</v>
      </c>
      <c r="E4" s="360">
        <f>E25</f>
        <v>37987</v>
      </c>
      <c r="F4" s="361">
        <f>F25</f>
        <v>38353</v>
      </c>
      <c r="G4" s="329"/>
      <c r="H4" s="329"/>
      <c r="I4" s="329"/>
      <c r="J4" s="329"/>
      <c r="K4" s="14"/>
    </row>
    <row r="5" spans="2:11" ht="12.75">
      <c r="B5" s="604" t="s">
        <v>737</v>
      </c>
      <c r="C5" s="605"/>
      <c r="D5" s="605"/>
      <c r="E5" s="605"/>
      <c r="F5" s="606"/>
      <c r="G5" s="329"/>
      <c r="H5" s="329"/>
      <c r="I5" s="329"/>
      <c r="J5" s="329"/>
      <c r="K5" s="14"/>
    </row>
    <row r="6" spans="2:11" ht="12.75">
      <c r="B6" s="426" t="s">
        <v>739</v>
      </c>
      <c r="C6" s="362">
        <f aca="true" t="shared" si="0" ref="C6:F7">C32</f>
        <v>-2.7392029270014255</v>
      </c>
      <c r="D6" s="362">
        <f t="shared" si="0"/>
        <v>-2.855726018109233</v>
      </c>
      <c r="E6" s="362">
        <f t="shared" si="0"/>
        <v>-2.829368482723173</v>
      </c>
      <c r="F6" s="363">
        <f t="shared" si="0"/>
        <v>-4.03048879929521</v>
      </c>
      <c r="G6" s="329"/>
      <c r="H6" s="329"/>
      <c r="I6" s="329"/>
      <c r="J6" s="329"/>
      <c r="K6" s="14"/>
    </row>
    <row r="7" spans="2:11" ht="48.75" thickBot="1">
      <c r="B7" s="427" t="s">
        <v>738</v>
      </c>
      <c r="C7" s="364" t="str">
        <f t="shared" si="0"/>
        <v>Вероятность банкротства невелика, т.к. Z &lt; 0</v>
      </c>
      <c r="D7" s="364" t="str">
        <f t="shared" si="0"/>
        <v>Вероятность банкротства невелика, т.к. Z &lt; 0</v>
      </c>
      <c r="E7" s="364" t="str">
        <f t="shared" si="0"/>
        <v>Вероятность банкротства невелика, т.к. Z &lt; 0</v>
      </c>
      <c r="F7" s="365" t="str">
        <f t="shared" si="0"/>
        <v>Вероятность банкротства невелика, т.к. Z &lt; 0</v>
      </c>
      <c r="G7" s="329"/>
      <c r="H7" s="329"/>
      <c r="I7" s="329"/>
      <c r="J7" s="329"/>
      <c r="K7" s="14"/>
    </row>
    <row r="8" spans="2:11" ht="12.75">
      <c r="B8" s="607" t="s">
        <v>437</v>
      </c>
      <c r="C8" s="608"/>
      <c r="D8" s="608"/>
      <c r="E8" s="608"/>
      <c r="F8" s="609"/>
      <c r="G8" s="329"/>
      <c r="H8" s="329"/>
      <c r="I8" s="329"/>
      <c r="J8" s="329"/>
      <c r="K8" s="14"/>
    </row>
    <row r="9" spans="2:11" ht="12.75">
      <c r="B9" s="426" t="s">
        <v>739</v>
      </c>
      <c r="C9" s="366"/>
      <c r="D9" s="367">
        <f aca="true" t="shared" si="1" ref="D9:F10">C53</f>
        <v>4.023957705878141</v>
      </c>
      <c r="E9" s="367" t="e">
        <f t="shared" si="1"/>
        <v>#REF!</v>
      </c>
      <c r="F9" s="368" t="e">
        <f t="shared" si="1"/>
        <v>#REF!</v>
      </c>
      <c r="G9" s="329"/>
      <c r="H9" s="329"/>
      <c r="I9" s="329"/>
      <c r="J9" s="329"/>
      <c r="K9" s="14"/>
    </row>
    <row r="10" spans="2:11" ht="48.75" thickBot="1">
      <c r="B10" s="427" t="s">
        <v>995</v>
      </c>
      <c r="C10" s="369"/>
      <c r="D10" s="364" t="str">
        <f t="shared" si="1"/>
        <v>Вероятность банкротства невелика, т.к. Z &gt; 2,7</v>
      </c>
      <c r="E10" s="364" t="e">
        <f t="shared" si="1"/>
        <v>#REF!</v>
      </c>
      <c r="F10" s="365" t="e">
        <f t="shared" si="1"/>
        <v>#REF!</v>
      </c>
      <c r="G10" s="329"/>
      <c r="H10" s="329"/>
      <c r="I10" s="344"/>
      <c r="J10" s="329"/>
      <c r="K10" s="14"/>
    </row>
    <row r="11" spans="2:11" ht="12.75">
      <c r="B11" s="607" t="s">
        <v>438</v>
      </c>
      <c r="C11" s="608"/>
      <c r="D11" s="608"/>
      <c r="E11" s="608"/>
      <c r="F11" s="609"/>
      <c r="G11" s="329"/>
      <c r="H11" s="329"/>
      <c r="I11" s="329"/>
      <c r="J11" s="329"/>
      <c r="K11" s="14"/>
    </row>
    <row r="12" spans="2:11" ht="12.75">
      <c r="B12" s="426" t="s">
        <v>739</v>
      </c>
      <c r="C12" s="370"/>
      <c r="D12" s="371">
        <f aca="true" t="shared" si="2" ref="D12:F13">C73</f>
        <v>0.5787307225474323</v>
      </c>
      <c r="E12" s="371">
        <f t="shared" si="2"/>
        <v>0.516524005921094</v>
      </c>
      <c r="F12" s="372">
        <f t="shared" si="2"/>
        <v>0.9589220961601272</v>
      </c>
      <c r="G12" s="329"/>
      <c r="H12" s="329"/>
      <c r="I12" s="329"/>
      <c r="J12" s="329"/>
      <c r="K12" s="14"/>
    </row>
    <row r="13" spans="2:11" ht="60.75" thickBot="1">
      <c r="B13" s="427" t="s">
        <v>996</v>
      </c>
      <c r="C13" s="369"/>
      <c r="D13" s="364" t="str">
        <f t="shared" si="2"/>
        <v>Вероятность банкротства невелика, т.к. Z &gt; 0,3</v>
      </c>
      <c r="E13" s="364" t="str">
        <f t="shared" si="2"/>
        <v>Вероятность банкротства невелика, т.к. Z &gt; 0,3</v>
      </c>
      <c r="F13" s="365" t="str">
        <f t="shared" si="2"/>
        <v>Вероятность банкротства невелика, т.к. Z &gt; 0,3</v>
      </c>
      <c r="G13" s="329"/>
      <c r="H13" s="329"/>
      <c r="I13" s="329"/>
      <c r="J13" s="329"/>
      <c r="K13" s="14"/>
    </row>
    <row r="14" spans="2:11" ht="12.75">
      <c r="B14" s="610" t="s">
        <v>439</v>
      </c>
      <c r="C14" s="611"/>
      <c r="D14" s="611"/>
      <c r="E14" s="611"/>
      <c r="F14" s="612"/>
      <c r="G14" s="329"/>
      <c r="H14" s="329"/>
      <c r="I14" s="329"/>
      <c r="J14" s="329"/>
      <c r="K14" s="14"/>
    </row>
    <row r="15" spans="2:11" ht="12.75">
      <c r="B15" s="426" t="s">
        <v>739</v>
      </c>
      <c r="C15" s="373"/>
      <c r="D15" s="371">
        <f aca="true" t="shared" si="3" ref="D15:F16">C93</f>
        <v>2.046745689310214</v>
      </c>
      <c r="E15" s="371" t="e">
        <f t="shared" si="3"/>
        <v>#REF!</v>
      </c>
      <c r="F15" s="372" t="e">
        <f t="shared" si="3"/>
        <v>#REF!</v>
      </c>
      <c r="G15" s="329"/>
      <c r="H15" s="329"/>
      <c r="I15" s="329"/>
      <c r="J15" s="329"/>
      <c r="K15" s="14"/>
    </row>
    <row r="16" spans="2:11" ht="60.75" thickBot="1">
      <c r="B16" s="428" t="s">
        <v>997</v>
      </c>
      <c r="C16" s="374"/>
      <c r="D16" s="375" t="str">
        <f t="shared" si="3"/>
        <v>Вероятность банкротства невелика, т.к. Z &gt; 0,037</v>
      </c>
      <c r="E16" s="375" t="e">
        <f t="shared" si="3"/>
        <v>#REF!</v>
      </c>
      <c r="F16" s="376" t="e">
        <f t="shared" si="3"/>
        <v>#REF!</v>
      </c>
      <c r="G16" s="329"/>
      <c r="H16" s="329"/>
      <c r="I16" s="329"/>
      <c r="J16" s="329"/>
      <c r="K16" s="14"/>
    </row>
    <row r="17" spans="2:11" ht="12.75">
      <c r="B17" s="607" t="str">
        <f>B97</f>
        <v>5 Четырехфакторная Z-модель Иркутской государственной экономической академии</v>
      </c>
      <c r="C17" s="608"/>
      <c r="D17" s="608"/>
      <c r="E17" s="608"/>
      <c r="F17" s="609"/>
      <c r="G17" s="329"/>
      <c r="H17" s="329"/>
      <c r="I17" s="329"/>
      <c r="J17" s="329"/>
      <c r="K17" s="14"/>
    </row>
    <row r="18" spans="2:11" ht="12.75">
      <c r="B18" s="426" t="s">
        <v>739</v>
      </c>
      <c r="C18" s="373"/>
      <c r="D18" s="371">
        <f aca="true" t="shared" si="4" ref="D18:F19">C112</f>
        <v>2.3999774903255195</v>
      </c>
      <c r="E18" s="371">
        <f t="shared" si="4"/>
        <v>2.960179620949937</v>
      </c>
      <c r="F18" s="372">
        <f t="shared" si="4"/>
        <v>4.123639275242824</v>
      </c>
      <c r="G18" s="329"/>
      <c r="H18" s="329"/>
      <c r="I18" s="329"/>
      <c r="J18" s="329"/>
      <c r="K18" s="14"/>
    </row>
    <row r="19" spans="2:11" ht="108.75" thickBot="1">
      <c r="B19" s="427" t="s">
        <v>613</v>
      </c>
      <c r="C19" s="377"/>
      <c r="D19" s="364" t="str">
        <f t="shared" si="4"/>
        <v>Вероятность банкротства очень мала (до 10%), т.к. Z&gt;0,42)</v>
      </c>
      <c r="E19" s="364" t="str">
        <f t="shared" si="4"/>
        <v>Вероятность банкротства очень мала (до 10%), т.к. Z&gt;0,42)</v>
      </c>
      <c r="F19" s="365" t="str">
        <f t="shared" si="4"/>
        <v>Вероятность банкротства очень мала (до 10%), т.к. Z&gt;0,42)</v>
      </c>
      <c r="G19" s="329"/>
      <c r="H19" s="329"/>
      <c r="I19" s="329"/>
      <c r="J19" s="329"/>
      <c r="K19" s="14"/>
    </row>
    <row r="20" spans="2:6" ht="12.75">
      <c r="B20" s="1"/>
      <c r="C20" s="1"/>
      <c r="D20" s="1"/>
      <c r="E20" s="1"/>
      <c r="F20" s="1"/>
    </row>
    <row r="21" spans="2:6" ht="12.75">
      <c r="B21" s="601" t="s">
        <v>436</v>
      </c>
      <c r="C21" s="601"/>
      <c r="D21" s="343"/>
      <c r="E21" s="343"/>
      <c r="F21" s="1"/>
    </row>
    <row r="22" spans="2:6" ht="12.75">
      <c r="B22" s="1"/>
      <c r="C22" s="1"/>
      <c r="D22" s="1"/>
      <c r="E22" s="1"/>
      <c r="F22" s="1"/>
    </row>
    <row r="23" spans="2:6" ht="12.75">
      <c r="B23" s="1"/>
      <c r="C23" s="1"/>
      <c r="D23" s="1"/>
      <c r="E23" s="1"/>
      <c r="F23" s="1"/>
    </row>
    <row r="24" spans="2:6" ht="12.75">
      <c r="B24" s="1"/>
      <c r="C24" s="1"/>
      <c r="D24" s="1"/>
      <c r="E24" s="1"/>
      <c r="F24" s="1"/>
    </row>
    <row r="25" spans="1:6" ht="12.75">
      <c r="A25" s="420" t="s">
        <v>440</v>
      </c>
      <c r="B25" s="390" t="s">
        <v>318</v>
      </c>
      <c r="C25" s="391">
        <v>37257</v>
      </c>
      <c r="D25" s="391">
        <v>37622</v>
      </c>
      <c r="E25" s="391">
        <v>37987</v>
      </c>
      <c r="F25" s="391">
        <v>38353</v>
      </c>
    </row>
    <row r="26" spans="1:6" ht="12.75">
      <c r="A26" s="419">
        <v>1</v>
      </c>
      <c r="B26" s="421" t="s">
        <v>1002</v>
      </c>
      <c r="C26" s="422">
        <f>АналитБал!B11</f>
        <v>49733</v>
      </c>
      <c r="D26" s="422">
        <f>АналитБал!C11</f>
        <v>68263</v>
      </c>
      <c r="E26" s="422">
        <f>АналитБал!D11</f>
        <v>89097</v>
      </c>
      <c r="F26" s="422">
        <f>АналитБал!E11</f>
        <v>101998</v>
      </c>
    </row>
    <row r="27" spans="1:6" ht="24">
      <c r="A27" s="419">
        <v>2</v>
      </c>
      <c r="B27" s="421" t="s">
        <v>998</v>
      </c>
      <c r="C27" s="423">
        <f>АналитБал!B22</f>
        <v>22581</v>
      </c>
      <c r="D27" s="423">
        <f>АналитБал!C22</f>
        <v>29524</v>
      </c>
      <c r="E27" s="423">
        <f>АналитБал!D22</f>
        <v>38838</v>
      </c>
      <c r="F27" s="423">
        <f>АналитБал!E22</f>
        <v>29961</v>
      </c>
    </row>
    <row r="28" spans="1:6" ht="24">
      <c r="A28" s="419">
        <v>3</v>
      </c>
      <c r="B28" s="421" t="s">
        <v>999</v>
      </c>
      <c r="C28" s="423">
        <f>АналитБал!B23</f>
        <v>27901</v>
      </c>
      <c r="D28" s="423">
        <f>АналитБал!C23</f>
        <v>36102</v>
      </c>
      <c r="E28" s="423">
        <f>АналитБал!D23</f>
        <v>51684</v>
      </c>
      <c r="F28" s="423">
        <f>АналитБал!E23</f>
        <v>32486</v>
      </c>
    </row>
    <row r="29" spans="1:6" ht="12.75">
      <c r="A29" s="419">
        <v>4</v>
      </c>
      <c r="B29" s="421" t="s">
        <v>441</v>
      </c>
      <c r="C29" s="423">
        <f>АналитБал!B24</f>
        <v>124052</v>
      </c>
      <c r="D29" s="423">
        <f>АналитБал!C24</f>
        <v>146535</v>
      </c>
      <c r="E29" s="423">
        <f>АналитБал!D24</f>
        <v>140873</v>
      </c>
      <c r="F29" s="423">
        <f>АналитБал!E24</f>
        <v>155052</v>
      </c>
    </row>
    <row r="30" spans="1:6" ht="24">
      <c r="A30" s="419">
        <v>5</v>
      </c>
      <c r="B30" s="421" t="s">
        <v>1000</v>
      </c>
      <c r="C30" s="424">
        <f>C26/C27</f>
        <v>2.2024268190071297</v>
      </c>
      <c r="D30" s="424">
        <f>D26/D27</f>
        <v>2.312118954071264</v>
      </c>
      <c r="E30" s="424">
        <f>E26/E27</f>
        <v>2.2940676656882433</v>
      </c>
      <c r="F30" s="424">
        <f>F26/F27</f>
        <v>3.4043590000333768</v>
      </c>
    </row>
    <row r="31" spans="1:6" ht="24">
      <c r="A31" s="419">
        <v>6</v>
      </c>
      <c r="B31" s="421" t="s">
        <v>1001</v>
      </c>
      <c r="C31" s="424">
        <f>C28/C29</f>
        <v>0.22491374584851515</v>
      </c>
      <c r="D31" s="424">
        <f>D28/D29</f>
        <v>0.24637117412222337</v>
      </c>
      <c r="E31" s="424">
        <f>E28/E29</f>
        <v>0.3668836469728053</v>
      </c>
      <c r="F31" s="424">
        <f>F28/F29</f>
        <v>0.2095168072646596</v>
      </c>
    </row>
    <row r="32" spans="1:6" s="333" customFormat="1" ht="20.25" customHeight="1">
      <c r="A32" s="419">
        <v>7</v>
      </c>
      <c r="B32" s="421" t="s">
        <v>442</v>
      </c>
      <c r="C32" s="394">
        <f>-0.3877-1.0736*C30+0.0579*C31</f>
        <v>-2.7392029270014255</v>
      </c>
      <c r="D32" s="394">
        <f>-0.3877-1.0736*D30+0.0579*D31</f>
        <v>-2.855726018109233</v>
      </c>
      <c r="E32" s="394">
        <f>-0.3877-1.0736*E30+0.0579*E31</f>
        <v>-2.829368482723173</v>
      </c>
      <c r="F32" s="394">
        <f>-0.3877-1.0736*F30+0.0579*F31</f>
        <v>-4.03048879929521</v>
      </c>
    </row>
    <row r="33" spans="1:6" ht="60">
      <c r="A33" s="425">
        <v>8</v>
      </c>
      <c r="B33" s="429" t="s">
        <v>1003</v>
      </c>
      <c r="C33" s="425" t="str">
        <f>IF(C$32=0,"Вероятность банкротства равна 50%, т.к. Z = 0",IF(C$32&gt;0,"Вероятность банкротства больше 50%, т.к. Z &gt; 0","Вероятность банкротства невелика, т.к. Z &lt; 0"))</f>
        <v>Вероятность банкротства невелика, т.к. Z &lt; 0</v>
      </c>
      <c r="D33" s="425" t="str">
        <f>IF(D$32=0,"Вероятность банкротства равна 50%, т.к. Z = 0",IF(D$32&gt;0,"Вероятность банкротства больше 50%, т.к. Z &gt; 0","Вероятность банкротства невелика, т.к. Z &lt; 0"))</f>
        <v>Вероятность банкротства невелика, т.к. Z &lt; 0</v>
      </c>
      <c r="E33" s="425" t="str">
        <f>IF(E$32=0,"Вероятность банкротства равна 50%, т.к. Z = 0",IF(E$32&gt;0,"Вероятность банкротства больше 50%, т.к. Z &gt; 0","Вероятность банкротства невелика, т.к. Z &lt; 0"))</f>
        <v>Вероятность банкротства невелика, т.к. Z &lt; 0</v>
      </c>
      <c r="F33" s="425" t="str">
        <f>IF(F$32=0,"Вероятность банкротства равна 50%, т.к. Z = 0",IF(F$32&gt;0,"Вероятность банкротства больше 50%, т.к. Z &gt; 0","Вероятность банкротства невелика, т.к. Z &lt; 0"))</f>
        <v>Вероятность банкротства невелика, т.к. Z &lt; 0</v>
      </c>
    </row>
    <row r="34" spans="2:6" ht="12.75">
      <c r="B34" s="1"/>
      <c r="C34" s="1"/>
      <c r="D34" s="1"/>
      <c r="E34" s="1"/>
      <c r="F34" s="1"/>
    </row>
    <row r="35" spans="2:6" ht="12.75">
      <c r="B35" s="1"/>
      <c r="C35" s="382"/>
      <c r="D35" s="382"/>
      <c r="E35" s="382"/>
      <c r="F35" s="382"/>
    </row>
    <row r="36" spans="2:6" ht="12.75">
      <c r="B36" s="601" t="s">
        <v>437</v>
      </c>
      <c r="C36" s="601"/>
      <c r="D36" s="343"/>
      <c r="E36" s="343"/>
      <c r="F36" s="1"/>
    </row>
    <row r="37" spans="2:6" ht="12.75">
      <c r="B37" s="1"/>
      <c r="C37" s="1"/>
      <c r="D37" s="1"/>
      <c r="E37" s="1"/>
      <c r="F37" s="1"/>
    </row>
    <row r="38" spans="2:6" ht="12.75">
      <c r="B38" s="1"/>
      <c r="C38" s="1"/>
      <c r="D38" s="1"/>
      <c r="E38" s="1"/>
      <c r="F38" s="1"/>
    </row>
    <row r="39" spans="2:6" ht="13.5" thickBot="1">
      <c r="B39" s="1"/>
      <c r="C39" s="1"/>
      <c r="D39" s="1"/>
      <c r="E39" s="1"/>
      <c r="F39" s="1"/>
    </row>
    <row r="40" spans="1:6" ht="13.5" thickBot="1">
      <c r="A40" s="332" t="s">
        <v>440</v>
      </c>
      <c r="B40" s="378" t="s">
        <v>318</v>
      </c>
      <c r="C40" s="379">
        <v>37987</v>
      </c>
      <c r="D40" s="379">
        <v>38353</v>
      </c>
      <c r="E40" s="380">
        <v>38718</v>
      </c>
      <c r="F40" s="1"/>
    </row>
    <row r="41" spans="1:6" ht="12.75">
      <c r="A41" s="418">
        <v>1</v>
      </c>
      <c r="B41" s="417" t="s">
        <v>1002</v>
      </c>
      <c r="C41" s="383">
        <f>АналитБал!B11/2+АналитБал!C11/2</f>
        <v>58998</v>
      </c>
      <c r="D41" s="383">
        <f>АналитБал!C11/2+АналитБал!D11/2</f>
        <v>78680</v>
      </c>
      <c r="E41" s="383">
        <f>АналитБал!D11/2+АналитБал!E11/2</f>
        <v>95547.5</v>
      </c>
      <c r="F41" s="1"/>
    </row>
    <row r="42" spans="1:6" ht="12.75">
      <c r="A42" s="418">
        <v>2</v>
      </c>
      <c r="B42" s="381" t="s">
        <v>443</v>
      </c>
      <c r="C42" s="383">
        <f>АналитБал!B16/2+АналитБал!C16/2</f>
        <v>135293.5</v>
      </c>
      <c r="D42" s="383">
        <f>АналитБал!C16/2+АналитБал!D16/2</f>
        <v>143704</v>
      </c>
      <c r="E42" s="383">
        <f>АналитБал!D16/2+АналитБал!E16/2</f>
        <v>147962.5</v>
      </c>
      <c r="F42" s="1"/>
    </row>
    <row r="43" spans="1:6" ht="24">
      <c r="A43" s="418">
        <v>3</v>
      </c>
      <c r="B43" s="381" t="s">
        <v>579</v>
      </c>
      <c r="C43" s="383">
        <f>АналитБал!B23/2+АналитБал!C23/2</f>
        <v>32001.5</v>
      </c>
      <c r="D43" s="383">
        <f>АналитБал!C23/2+АналитБал!D23/2</f>
        <v>43893</v>
      </c>
      <c r="E43" s="383">
        <f>АналитБал!D23/2+АналитБал!E23/2</f>
        <v>42085</v>
      </c>
      <c r="F43" s="1"/>
    </row>
    <row r="44" spans="1:6" ht="24">
      <c r="A44" s="419">
        <v>4</v>
      </c>
      <c r="B44" s="384" t="s">
        <v>444</v>
      </c>
      <c r="C44" s="383">
        <f>Данные!D77+Данные!D78+Данные!D79+Данные!D80</f>
        <v>66198</v>
      </c>
      <c r="D44" s="383" t="e">
        <f>Данные!E79+Данные!E78+Данные!#REF!+Данные!E80</f>
        <v>#REF!</v>
      </c>
      <c r="E44" s="383" t="e">
        <f>Данные!F79+Данные!F78+Данные!#REF!+Данные!F80</f>
        <v>#REF!</v>
      </c>
      <c r="F44" s="1"/>
    </row>
    <row r="45" spans="1:6" ht="12.75">
      <c r="A45" s="418">
        <v>5</v>
      </c>
      <c r="B45" s="381" t="s">
        <v>469</v>
      </c>
      <c r="C45" s="383">
        <f>Данные!C128</f>
        <v>16115</v>
      </c>
      <c r="D45" s="383">
        <f>Данные!D128</f>
        <v>15579</v>
      </c>
      <c r="E45" s="383">
        <f>Данные!E128</f>
        <v>37761</v>
      </c>
      <c r="F45" s="1"/>
    </row>
    <row r="46" spans="1:6" ht="24">
      <c r="A46" s="418">
        <v>6</v>
      </c>
      <c r="B46" s="381" t="s">
        <v>580</v>
      </c>
      <c r="C46" s="383">
        <f>'2003'!C69/2+'2003'!D69/2</f>
        <v>103292</v>
      </c>
      <c r="D46" s="383">
        <f>'2004'!C69/2+'2004'!D69/2</f>
        <v>99811</v>
      </c>
      <c r="E46" s="383">
        <f>'2005'!C69/2+'2005'!D69/2</f>
        <v>105877.5</v>
      </c>
      <c r="F46" s="1"/>
    </row>
    <row r="47" spans="1:6" ht="12.75">
      <c r="A47" s="418">
        <v>7</v>
      </c>
      <c r="B47" s="381" t="s">
        <v>470</v>
      </c>
      <c r="C47" s="383">
        <f>Данные!C111</f>
        <v>65747</v>
      </c>
      <c r="D47" s="383">
        <f>Данные!D111</f>
        <v>65909</v>
      </c>
      <c r="E47" s="383">
        <f>Данные!E111</f>
        <v>122618</v>
      </c>
      <c r="F47" s="1"/>
    </row>
    <row r="48" spans="1:6" ht="12.75">
      <c r="A48" s="418">
        <v>8</v>
      </c>
      <c r="B48" s="381" t="s">
        <v>581</v>
      </c>
      <c r="C48" s="385">
        <f>C41/C42</f>
        <v>0.436074164686404</v>
      </c>
      <c r="D48" s="385">
        <f>D41/D42</f>
        <v>0.5475143350219897</v>
      </c>
      <c r="E48" s="385">
        <f>E41/E42</f>
        <v>0.645754836529526</v>
      </c>
      <c r="F48" s="1"/>
    </row>
    <row r="49" spans="1:6" ht="12.75">
      <c r="A49" s="418">
        <v>9</v>
      </c>
      <c r="B49" s="381" t="s">
        <v>582</v>
      </c>
      <c r="C49" s="385">
        <f>C44/C42</f>
        <v>0.48929179894082125</v>
      </c>
      <c r="D49" s="385" t="e">
        <f>D44/D42</f>
        <v>#REF!</v>
      </c>
      <c r="E49" s="385" t="e">
        <f>E44/E42</f>
        <v>#REF!</v>
      </c>
      <c r="F49" s="1"/>
    </row>
    <row r="50" spans="1:6" ht="12.75">
      <c r="A50" s="418">
        <v>10</v>
      </c>
      <c r="B50" s="381" t="s">
        <v>583</v>
      </c>
      <c r="C50" s="385">
        <f aca="true" t="shared" si="5" ref="C50:E51">C45/C42</f>
        <v>0.11911141333471305</v>
      </c>
      <c r="D50" s="385">
        <f t="shared" si="5"/>
        <v>0.10841034348382787</v>
      </c>
      <c r="E50" s="385">
        <f t="shared" si="5"/>
        <v>0.2552065557151305</v>
      </c>
      <c r="F50" s="1"/>
    </row>
    <row r="51" spans="1:6" ht="12.75">
      <c r="A51" s="418">
        <v>11</v>
      </c>
      <c r="B51" s="381" t="s">
        <v>584</v>
      </c>
      <c r="C51" s="385">
        <f t="shared" si="5"/>
        <v>3.2277237004515413</v>
      </c>
      <c r="D51" s="385">
        <f t="shared" si="5"/>
        <v>2.273961679538879</v>
      </c>
      <c r="E51" s="385">
        <f t="shared" si="5"/>
        <v>2.515801354401806</v>
      </c>
      <c r="F51" s="1"/>
    </row>
    <row r="52" spans="1:6" ht="12.75">
      <c r="A52" s="418">
        <v>12</v>
      </c>
      <c r="B52" s="381" t="s">
        <v>585</v>
      </c>
      <c r="C52" s="385">
        <f>C47/C42</f>
        <v>0.4859583054618293</v>
      </c>
      <c r="D52" s="385">
        <f>D47/D42</f>
        <v>0.4586441574347269</v>
      </c>
      <c r="E52" s="385">
        <f>E47/E42</f>
        <v>0.8287099771901665</v>
      </c>
      <c r="F52" s="1"/>
    </row>
    <row r="53" spans="1:6" ht="22.5" customHeight="1">
      <c r="A53" s="418">
        <v>13</v>
      </c>
      <c r="B53" s="381" t="s">
        <v>442</v>
      </c>
      <c r="C53" s="386">
        <f>1.2*C48+1.4*C49+3.3*C50+0.6*C51+C52</f>
        <v>4.023957705878141</v>
      </c>
      <c r="D53" s="386" t="e">
        <f>1.2*D48+1.4*D49+3.3*D50+0.6*D51+D52</f>
        <v>#REF!</v>
      </c>
      <c r="E53" s="386" t="e">
        <f>1.2*E48+1.4*E49+3.3*E50+0.6*E51+E52</f>
        <v>#REF!</v>
      </c>
      <c r="F53" s="1"/>
    </row>
    <row r="54" spans="1:6" ht="57.75" customHeight="1" thickBot="1">
      <c r="A54" s="418">
        <v>14</v>
      </c>
      <c r="B54" s="387" t="s">
        <v>610</v>
      </c>
      <c r="C54" s="388" t="str">
        <f>IF(C$53&lt;1.81,"Вероятность банкротства очень высокая, т.к. Z &lt; 1,81",IF(C$53&gt;2.7,"Вероятность банкротства невелика, т.к. Z &gt; 2,7","Вероятность банкротства средняя, т.к.1,81&lt;Z&lt; 2,7"))</f>
        <v>Вероятность банкротства невелика, т.к. Z &gt; 2,7</v>
      </c>
      <c r="D54" s="388" t="e">
        <f>IF(D$53&lt;1.81,"Вероятность банкротства очень высокая, т.к. Z &lt; 1,81",IF(D$53&gt;2.7,"Вероятность банкротства невелика, т.к. Z &gt; 2,7","Вероятность банкротства средняя, т.к.1,81&lt;Z&lt; 2,7"))</f>
        <v>#REF!</v>
      </c>
      <c r="E54" s="388" t="e">
        <f>IF(E$53&lt;1.81,"Вероятность банкротства очень высокая, т.к. Z &lt; 1,81",IF(E$53&gt;2.7,"Вероятность банкротства невелика, т.к. Z &gt; 2,7","Вероятность банкротства средняя, т.к.1,81&lt;Z&lt; 2,7"))</f>
        <v>#REF!</v>
      </c>
      <c r="F54" s="1"/>
    </row>
    <row r="55" spans="2:6" ht="18" customHeight="1">
      <c r="B55" s="389" t="s">
        <v>617</v>
      </c>
      <c r="C55" s="1"/>
      <c r="D55" s="1"/>
      <c r="E55" s="1"/>
      <c r="F55" s="1"/>
    </row>
    <row r="56" spans="2:6" ht="12.75">
      <c r="B56" s="1"/>
      <c r="C56" s="1"/>
      <c r="D56" s="1"/>
      <c r="E56" s="1"/>
      <c r="F56" s="1"/>
    </row>
    <row r="57" spans="2:6" ht="12.75">
      <c r="B57" s="601" t="s">
        <v>438</v>
      </c>
      <c r="C57" s="601"/>
      <c r="D57" s="343"/>
      <c r="E57" s="343"/>
      <c r="F57" s="1"/>
    </row>
    <row r="58" spans="2:6" ht="12.75">
      <c r="B58" s="1"/>
      <c r="C58" s="1"/>
      <c r="D58" s="1"/>
      <c r="E58" s="1"/>
      <c r="F58" s="1"/>
    </row>
    <row r="59" spans="2:6" ht="12.75">
      <c r="B59" s="1"/>
      <c r="C59" s="1"/>
      <c r="D59" s="1"/>
      <c r="E59" s="1"/>
      <c r="F59" s="1"/>
    </row>
    <row r="60" spans="2:6" ht="12.75">
      <c r="B60" s="1"/>
      <c r="C60" s="1"/>
      <c r="D60" s="1"/>
      <c r="E60" s="1"/>
      <c r="F60" s="1"/>
    </row>
    <row r="61" spans="1:6" ht="12.75">
      <c r="A61" s="335"/>
      <c r="B61" s="390" t="s">
        <v>318</v>
      </c>
      <c r="C61" s="391">
        <v>37622</v>
      </c>
      <c r="D61" s="391">
        <v>37987</v>
      </c>
      <c r="E61" s="391">
        <v>38353</v>
      </c>
      <c r="F61" s="1"/>
    </row>
    <row r="62" spans="1:6" ht="24">
      <c r="A62" s="334">
        <v>1</v>
      </c>
      <c r="B62" s="392" t="s">
        <v>578</v>
      </c>
      <c r="C62" s="393">
        <f aca="true" t="shared" si="6" ref="C62:E63">C41</f>
        <v>58998</v>
      </c>
      <c r="D62" s="393">
        <f t="shared" si="6"/>
        <v>78680</v>
      </c>
      <c r="E62" s="393">
        <f t="shared" si="6"/>
        <v>95547.5</v>
      </c>
      <c r="F62" s="1"/>
    </row>
    <row r="63" spans="1:6" ht="12.75">
      <c r="A63" s="334">
        <v>2</v>
      </c>
      <c r="B63" s="392" t="s">
        <v>443</v>
      </c>
      <c r="C63" s="393">
        <f t="shared" si="6"/>
        <v>135293.5</v>
      </c>
      <c r="D63" s="393">
        <f t="shared" si="6"/>
        <v>143704</v>
      </c>
      <c r="E63" s="393">
        <f t="shared" si="6"/>
        <v>147962.5</v>
      </c>
      <c r="F63" s="1"/>
    </row>
    <row r="64" spans="1:6" ht="12.75">
      <c r="A64" s="334">
        <v>3</v>
      </c>
      <c r="B64" s="392" t="s">
        <v>471</v>
      </c>
      <c r="C64" s="393">
        <f>АналитБал!B22/2+АналитБал!C22/2</f>
        <v>26052.5</v>
      </c>
      <c r="D64" s="393">
        <f>АналитБал!C22/2+АналитБал!D22/2</f>
        <v>34181</v>
      </c>
      <c r="E64" s="393">
        <f>АналитБал!D22/2+АналитБал!E22/2</f>
        <v>34399.5</v>
      </c>
      <c r="F64" s="1"/>
    </row>
    <row r="65" spans="1:6" ht="12.75">
      <c r="A65" s="334">
        <v>4</v>
      </c>
      <c r="B65" s="392" t="s">
        <v>472</v>
      </c>
      <c r="C65" s="393">
        <f>АналитБал!B22/2+АналитБал!C23/2</f>
        <v>29341.5</v>
      </c>
      <c r="D65" s="393">
        <f>АналитБал!C22/2+АналитБал!D23/2</f>
        <v>40604</v>
      </c>
      <c r="E65" s="393">
        <f>АналитБал!D22/2+АналитБал!E23/2</f>
        <v>35662</v>
      </c>
      <c r="F65" s="1"/>
    </row>
    <row r="66" spans="1:6" ht="12.75">
      <c r="A66" s="334">
        <v>5</v>
      </c>
      <c r="B66" s="392" t="s">
        <v>473</v>
      </c>
      <c r="C66" s="393">
        <f>Данные!C120</f>
        <v>10073</v>
      </c>
      <c r="D66" s="393">
        <f>Данные!D120</f>
        <v>9572</v>
      </c>
      <c r="E66" s="393">
        <f>Данные!E120</f>
        <v>28310</v>
      </c>
      <c r="F66" s="1"/>
    </row>
    <row r="67" spans="1:6" ht="24">
      <c r="A67" s="334">
        <v>6</v>
      </c>
      <c r="B67" s="392" t="s">
        <v>474</v>
      </c>
      <c r="C67" s="393">
        <f aca="true" t="shared" si="7" ref="C67:E68">C46</f>
        <v>103292</v>
      </c>
      <c r="D67" s="393">
        <f t="shared" si="7"/>
        <v>99811</v>
      </c>
      <c r="E67" s="393">
        <f t="shared" si="7"/>
        <v>105877.5</v>
      </c>
      <c r="F67" s="1"/>
    </row>
    <row r="68" spans="1:6" ht="12.75">
      <c r="A68" s="334">
        <v>7</v>
      </c>
      <c r="B68" s="392" t="s">
        <v>470</v>
      </c>
      <c r="C68" s="393">
        <f t="shared" si="7"/>
        <v>65747</v>
      </c>
      <c r="D68" s="393">
        <f t="shared" si="7"/>
        <v>65909</v>
      </c>
      <c r="E68" s="393">
        <f t="shared" si="7"/>
        <v>122618</v>
      </c>
      <c r="F68" s="1"/>
    </row>
    <row r="69" spans="1:6" ht="12.75">
      <c r="A69" s="334">
        <v>8</v>
      </c>
      <c r="B69" s="392" t="s">
        <v>618</v>
      </c>
      <c r="C69" s="305">
        <f>C66/C64</f>
        <v>0.3866423567795797</v>
      </c>
      <c r="D69" s="305">
        <f>D66/D64</f>
        <v>0.28003861794564233</v>
      </c>
      <c r="E69" s="305">
        <f>E66/E64</f>
        <v>0.8229770781552057</v>
      </c>
      <c r="F69" s="1"/>
    </row>
    <row r="70" spans="1:6" ht="12.75">
      <c r="A70" s="334">
        <v>9</v>
      </c>
      <c r="B70" s="392" t="s">
        <v>619</v>
      </c>
      <c r="C70" s="305">
        <f>C62/C65</f>
        <v>2.0107356474617863</v>
      </c>
      <c r="D70" s="305">
        <f>D62/D65</f>
        <v>1.937740124125702</v>
      </c>
      <c r="E70" s="305">
        <f>E62/E65</f>
        <v>2.679252425551007</v>
      </c>
      <c r="F70" s="1"/>
    </row>
    <row r="71" spans="1:6" ht="12.75">
      <c r="A71" s="334">
        <v>10</v>
      </c>
      <c r="B71" s="392" t="s">
        <v>620</v>
      </c>
      <c r="C71" s="305">
        <f>C64/C63</f>
        <v>0.19256283561294518</v>
      </c>
      <c r="D71" s="305">
        <f>D64/D63</f>
        <v>0.2378569838000334</v>
      </c>
      <c r="E71" s="305">
        <f>E64/E63</f>
        <v>0.2324879614767255</v>
      </c>
      <c r="F71" s="1"/>
    </row>
    <row r="72" spans="1:6" ht="12.75">
      <c r="A72" s="334">
        <v>11</v>
      </c>
      <c r="B72" s="392" t="s">
        <v>621</v>
      </c>
      <c r="C72" s="305">
        <f>C68/C63</f>
        <v>0.4859583054618293</v>
      </c>
      <c r="D72" s="305">
        <f>D68/D63</f>
        <v>0.4586441574347269</v>
      </c>
      <c r="E72" s="305">
        <f>E68/E63</f>
        <v>0.8287099771901665</v>
      </c>
      <c r="F72" s="1"/>
    </row>
    <row r="73" spans="1:6" ht="24" customHeight="1">
      <c r="A73" s="334">
        <v>12</v>
      </c>
      <c r="B73" s="392" t="s">
        <v>442</v>
      </c>
      <c r="C73" s="394">
        <f>0.53*C69+0.13*C70+0.18*C71+0.16*C72</f>
        <v>0.5787307225474323</v>
      </c>
      <c r="D73" s="394">
        <f>0.53*D69+0.13*D70+0.18*D71+0.16*D72</f>
        <v>0.516524005921094</v>
      </c>
      <c r="E73" s="394">
        <f>0.53*E69+0.13*E70+0.18*E71+0.16*E72</f>
        <v>0.9589220961601272</v>
      </c>
      <c r="F73" s="1"/>
    </row>
    <row r="74" spans="1:6" ht="64.5" customHeight="1">
      <c r="A74" s="334">
        <v>13</v>
      </c>
      <c r="B74" s="387" t="s">
        <v>138</v>
      </c>
      <c r="C74" s="395" t="str">
        <f>IF(C$73&lt;0.2,"Вероятность банкротства очень высокая, т.к. Z ≤ 0,2",IF(C$73&gt;0.3,"Вероятность банкротства невелика, т.к. Z &gt; 0,3","Вероятность банкротства высокая, т.к.0,2&lt;Z&lt; 0,3"))</f>
        <v>Вероятность банкротства невелика, т.к. Z &gt; 0,3</v>
      </c>
      <c r="D74" s="395" t="str">
        <f>IF(D$73&lt;0.2,"Вероятность банкротства очень высокая, т.к. Z ≤ 0,2",IF(D$73&gt;0.3,"Вероятность банкротства невелика, т.к. Z &gt; 0,3","Вероятность банкротства высокая, т.к.0,2&lt;Z&lt; 0,3"))</f>
        <v>Вероятность банкротства невелика, т.к. Z &gt; 0,3</v>
      </c>
      <c r="E74" s="395" t="str">
        <f>IF(E$73&lt;0.2,"Вероятность банкротства очень высокая, т.к. Z ≤ 0,2",IF(E$73&gt;0.3,"Вероятность банкротства невелика, т.к. Z &gt; 0,3","Вероятность банкротства высокая, т.к.0,2&lt;Z&lt; 0,3"))</f>
        <v>Вероятность банкротства невелика, т.к. Z &gt; 0,3</v>
      </c>
      <c r="F74" s="1"/>
    </row>
    <row r="75" spans="2:6" ht="12.75">
      <c r="B75" s="389" t="s">
        <v>617</v>
      </c>
      <c r="C75" s="1"/>
      <c r="D75" s="1"/>
      <c r="E75" s="1"/>
      <c r="F75" s="1"/>
    </row>
    <row r="76" spans="2:6" ht="12.75">
      <c r="B76" s="1"/>
      <c r="C76" s="1"/>
      <c r="D76" s="1"/>
      <c r="E76" s="1"/>
      <c r="F76" s="1"/>
    </row>
    <row r="77" spans="2:6" ht="12.75">
      <c r="B77" s="601" t="s">
        <v>439</v>
      </c>
      <c r="C77" s="601"/>
      <c r="D77" s="343"/>
      <c r="E77" s="343"/>
      <c r="F77" s="1"/>
    </row>
    <row r="78" spans="2:6" ht="12.75">
      <c r="B78" s="1"/>
      <c r="C78" s="1"/>
      <c r="D78" s="1"/>
      <c r="E78" s="1"/>
      <c r="F78" s="1"/>
    </row>
    <row r="79" spans="2:6" ht="12.75">
      <c r="B79" s="1"/>
      <c r="C79" s="1"/>
      <c r="D79" s="1" t="s">
        <v>475</v>
      </c>
      <c r="E79" s="1"/>
      <c r="F79" s="1"/>
    </row>
    <row r="80" spans="2:6" ht="12.75">
      <c r="B80" s="1"/>
      <c r="C80" s="1"/>
      <c r="D80" s="1"/>
      <c r="E80" s="1"/>
      <c r="F80" s="1"/>
    </row>
    <row r="81" spans="1:6" ht="12.75">
      <c r="A81" s="335"/>
      <c r="B81" s="390" t="s">
        <v>318</v>
      </c>
      <c r="C81" s="391">
        <v>37622</v>
      </c>
      <c r="D81" s="391">
        <v>37987</v>
      </c>
      <c r="E81" s="391">
        <v>38353</v>
      </c>
      <c r="F81" s="1"/>
    </row>
    <row r="82" spans="1:6" ht="24">
      <c r="A82" s="334">
        <v>1</v>
      </c>
      <c r="B82" s="384" t="s">
        <v>578</v>
      </c>
      <c r="C82" s="393">
        <f aca="true" t="shared" si="8" ref="C82:E85">C41</f>
        <v>58998</v>
      </c>
      <c r="D82" s="393">
        <f t="shared" si="8"/>
        <v>78680</v>
      </c>
      <c r="E82" s="393">
        <f t="shared" si="8"/>
        <v>95547.5</v>
      </c>
      <c r="F82" s="1"/>
    </row>
    <row r="83" spans="1:6" ht="12.75">
      <c r="A83" s="334">
        <v>2</v>
      </c>
      <c r="B83" s="384" t="s">
        <v>443</v>
      </c>
      <c r="C83" s="393">
        <f t="shared" si="8"/>
        <v>135293.5</v>
      </c>
      <c r="D83" s="393">
        <f t="shared" si="8"/>
        <v>143704</v>
      </c>
      <c r="E83" s="393">
        <f t="shared" si="8"/>
        <v>147962.5</v>
      </c>
      <c r="F83" s="1"/>
    </row>
    <row r="84" spans="1:6" ht="24">
      <c r="A84" s="334">
        <v>3</v>
      </c>
      <c r="B84" s="384" t="s">
        <v>579</v>
      </c>
      <c r="C84" s="393">
        <f t="shared" si="8"/>
        <v>32001.5</v>
      </c>
      <c r="D84" s="393">
        <f t="shared" si="8"/>
        <v>43893</v>
      </c>
      <c r="E84" s="393">
        <f t="shared" si="8"/>
        <v>42085</v>
      </c>
      <c r="F84" s="1"/>
    </row>
    <row r="85" spans="1:6" ht="24">
      <c r="A85" s="334">
        <v>4</v>
      </c>
      <c r="B85" s="384" t="s">
        <v>444</v>
      </c>
      <c r="C85" s="393">
        <f t="shared" si="8"/>
        <v>66198</v>
      </c>
      <c r="D85" s="393" t="e">
        <f t="shared" si="8"/>
        <v>#REF!</v>
      </c>
      <c r="E85" s="393" t="e">
        <f t="shared" si="8"/>
        <v>#REF!</v>
      </c>
      <c r="F85" s="1"/>
    </row>
    <row r="86" spans="1:6" ht="24">
      <c r="A86" s="334">
        <v>5</v>
      </c>
      <c r="B86" s="392" t="s">
        <v>474</v>
      </c>
      <c r="C86" s="393">
        <f>C46</f>
        <v>103292</v>
      </c>
      <c r="D86" s="393">
        <f>D46</f>
        <v>99811</v>
      </c>
      <c r="E86" s="393">
        <f>E46</f>
        <v>105877.5</v>
      </c>
      <c r="F86" s="1"/>
    </row>
    <row r="87" spans="1:6" ht="12.75">
      <c r="A87" s="334">
        <v>6</v>
      </c>
      <c r="B87" s="384" t="s">
        <v>469</v>
      </c>
      <c r="C87" s="393">
        <f>C45</f>
        <v>16115</v>
      </c>
      <c r="D87" s="393">
        <f>D45</f>
        <v>15579</v>
      </c>
      <c r="E87" s="393">
        <f>E45</f>
        <v>37761</v>
      </c>
      <c r="F87" s="1"/>
    </row>
    <row r="88" spans="1:6" ht="12.75">
      <c r="A88" s="334">
        <v>7</v>
      </c>
      <c r="B88" s="392" t="s">
        <v>473</v>
      </c>
      <c r="C88" s="393">
        <f>C66</f>
        <v>10073</v>
      </c>
      <c r="D88" s="393">
        <f>D66</f>
        <v>9572</v>
      </c>
      <c r="E88" s="393">
        <f>E66</f>
        <v>28310</v>
      </c>
      <c r="F88" s="1"/>
    </row>
    <row r="89" spans="1:6" ht="12.75">
      <c r="A89" s="334">
        <v>8</v>
      </c>
      <c r="B89" s="392" t="s">
        <v>581</v>
      </c>
      <c r="C89" s="396">
        <f>C82/C83</f>
        <v>0.436074164686404</v>
      </c>
      <c r="D89" s="396">
        <f>D82/D83</f>
        <v>0.5475143350219897</v>
      </c>
      <c r="E89" s="396">
        <f>E82/E83</f>
        <v>0.645754836529526</v>
      </c>
      <c r="F89" s="1"/>
    </row>
    <row r="90" spans="1:6" ht="12.75">
      <c r="A90" s="334">
        <v>9</v>
      </c>
      <c r="B90" s="392" t="s">
        <v>622</v>
      </c>
      <c r="C90" s="396">
        <f>C88/C83</f>
        <v>0.07445294858954792</v>
      </c>
      <c r="D90" s="396">
        <f>D88/D83</f>
        <v>0.06660914101208039</v>
      </c>
      <c r="E90" s="396">
        <f>E88/E83</f>
        <v>0.1913322632423756</v>
      </c>
      <c r="F90" s="1"/>
    </row>
    <row r="91" spans="1:6" ht="12.75">
      <c r="A91" s="334">
        <v>10</v>
      </c>
      <c r="B91" s="392" t="s">
        <v>623</v>
      </c>
      <c r="C91" s="396">
        <f aca="true" t="shared" si="9" ref="C91:E92">C85/C83</f>
        <v>0.48929179894082125</v>
      </c>
      <c r="D91" s="396" t="e">
        <f t="shared" si="9"/>
        <v>#REF!</v>
      </c>
      <c r="E91" s="396" t="e">
        <f t="shared" si="9"/>
        <v>#REF!</v>
      </c>
      <c r="F91" s="1"/>
    </row>
    <row r="92" spans="1:6" ht="12.75">
      <c r="A92" s="334">
        <v>11</v>
      </c>
      <c r="B92" s="392" t="s">
        <v>624</v>
      </c>
      <c r="C92" s="396">
        <f t="shared" si="9"/>
        <v>3.2277237004515413</v>
      </c>
      <c r="D92" s="396">
        <f t="shared" si="9"/>
        <v>2.273961679538879</v>
      </c>
      <c r="E92" s="396">
        <f t="shared" si="9"/>
        <v>2.515801354401806</v>
      </c>
      <c r="F92" s="1"/>
    </row>
    <row r="93" spans="1:6" ht="24.75" customHeight="1">
      <c r="A93" s="334">
        <v>12</v>
      </c>
      <c r="B93" s="392" t="s">
        <v>442</v>
      </c>
      <c r="C93" s="394">
        <f>0.063*C89+0.692*C90+0.057*C91+0.601*C92</f>
        <v>2.046745689310214</v>
      </c>
      <c r="D93" s="394" t="e">
        <f>0.063*D89+0.692*D90+0.057*D91+0.601*D92</f>
        <v>#REF!</v>
      </c>
      <c r="E93" s="394" t="e">
        <f>0.063*E89+0.692*E90+0.057*E91+0.601*E92</f>
        <v>#REF!</v>
      </c>
      <c r="F93" s="1"/>
    </row>
    <row r="94" spans="1:6" ht="48">
      <c r="A94" s="334">
        <v>13</v>
      </c>
      <c r="B94" s="387" t="s">
        <v>139</v>
      </c>
      <c r="C94" s="395" t="str">
        <f>IF(C93&lt;0.037,"Вероятность банкротства очень высокая, т.к. Z &lt; 0,037",IF(C93&gt;0.037,"Вероятность банкротства невелика, т.к. Z &gt; 0,037","Вероятность банкротства высокая, т.к.Z=0,037"))</f>
        <v>Вероятность банкротства невелика, т.к. Z &gt; 0,037</v>
      </c>
      <c r="D94" s="395" t="e">
        <f>IF(D93&lt;0.037,"Вероятность банкротства очень высокая, т.к. Z &lt; 0,037",IF(D93&gt;0.037,"Вероятность банкротства невелика, т.к. Z &gt; 0,037","Вероятность банкротства высокая, т.к.Z=0,037"))</f>
        <v>#REF!</v>
      </c>
      <c r="E94" s="395" t="e">
        <f>IF(E93&lt;0.037,"Вероятность банкротства очень высокая, т.к. Z &lt; 0,037",IF(E93&gt;0.037,"Вероятность банкротства невелика, т.к. Z &gt; 0,037","Вероятность банкротства высокая, т.к.Z=0,037"))</f>
        <v>#REF!</v>
      </c>
      <c r="F94" s="1"/>
    </row>
    <row r="95" spans="2:6" ht="12.75">
      <c r="B95" s="397" t="s">
        <v>476</v>
      </c>
      <c r="C95" s="1"/>
      <c r="D95" s="1"/>
      <c r="E95" s="1"/>
      <c r="F95" s="1"/>
    </row>
    <row r="96" spans="2:6" ht="12.75">
      <c r="B96" s="1"/>
      <c r="C96" s="1"/>
      <c r="D96" s="1"/>
      <c r="E96" s="1"/>
      <c r="F96" s="1"/>
    </row>
    <row r="97" spans="2:6" ht="35.25" customHeight="1">
      <c r="B97" s="600" t="s">
        <v>361</v>
      </c>
      <c r="C97" s="600"/>
      <c r="D97" s="600"/>
      <c r="E97" s="600"/>
      <c r="F97" s="1"/>
    </row>
    <row r="98" spans="2:6" ht="12.75">
      <c r="B98" s="1"/>
      <c r="C98" s="1"/>
      <c r="D98" s="1"/>
      <c r="E98" s="1"/>
      <c r="F98" s="1"/>
    </row>
    <row r="99" spans="2:6" ht="12.75">
      <c r="B99" s="1"/>
      <c r="C99" s="1"/>
      <c r="D99" s="1"/>
      <c r="E99" s="1"/>
      <c r="F99" s="1"/>
    </row>
    <row r="100" spans="2:6" ht="12.75">
      <c r="B100" s="1"/>
      <c r="C100" s="1"/>
      <c r="D100" s="1"/>
      <c r="E100" s="1"/>
      <c r="F100" s="1"/>
    </row>
    <row r="101" spans="1:6" ht="12.75">
      <c r="A101" s="335"/>
      <c r="B101" s="390" t="s">
        <v>318</v>
      </c>
      <c r="C101" s="391">
        <v>37622</v>
      </c>
      <c r="D101" s="391">
        <v>37987</v>
      </c>
      <c r="E101" s="391">
        <v>38353</v>
      </c>
      <c r="F101" s="1"/>
    </row>
    <row r="102" spans="1:6" ht="12.75">
      <c r="A102" s="334">
        <v>1</v>
      </c>
      <c r="B102" s="384" t="s">
        <v>443</v>
      </c>
      <c r="C102" s="393">
        <f>C42</f>
        <v>135293.5</v>
      </c>
      <c r="D102" s="393">
        <f>D42</f>
        <v>143704</v>
      </c>
      <c r="E102" s="393">
        <f>E42</f>
        <v>147962.5</v>
      </c>
      <c r="F102" s="1"/>
    </row>
    <row r="103" spans="1:6" ht="24.75" customHeight="1">
      <c r="A103" s="334">
        <v>2</v>
      </c>
      <c r="B103" s="384" t="s">
        <v>477</v>
      </c>
      <c r="C103" s="393">
        <f>(АналитБал!B18+АналитБал!B19-АналитБал!B5)/2+(АналитБал!C18+АналитБал!C19-АналитБал!C5)/2</f>
        <v>32945.5</v>
      </c>
      <c r="D103" s="393">
        <f>(АналитБал!C18+АналитБал!C19-АналитБал!C5)/2+(АналитБал!D18+АналитБал!D19-АналитБал!D5)/2</f>
        <v>44499</v>
      </c>
      <c r="E103" s="393">
        <f>(АналитБал!D18+АналитБал!D19-АналитБал!D5)/2+(АналитБал!E18+АналитБал!E19-АналитБал!E5)/2</f>
        <v>61148</v>
      </c>
      <c r="F103" s="1"/>
    </row>
    <row r="104" spans="1:6" ht="12.75">
      <c r="A104" s="334">
        <v>3</v>
      </c>
      <c r="B104" s="384" t="s">
        <v>478</v>
      </c>
      <c r="C104" s="393">
        <f>АналитБал!B18/2+АналитБал!C18/2</f>
        <v>103292</v>
      </c>
      <c r="D104" s="393">
        <f>АналитБал!C18/2+АналитБал!D18/2</f>
        <v>99811</v>
      </c>
      <c r="E104" s="393">
        <f>АналитБал!D18/2+АналитБал!E18/2</f>
        <v>105877.5</v>
      </c>
      <c r="F104" s="1"/>
    </row>
    <row r="105" spans="1:6" ht="12.75">
      <c r="A105" s="334">
        <v>4</v>
      </c>
      <c r="B105" s="384" t="s">
        <v>479</v>
      </c>
      <c r="C105" s="393">
        <f>Данные!C114</f>
        <v>55674</v>
      </c>
      <c r="D105" s="393">
        <f>Данные!D114</f>
        <v>56337</v>
      </c>
      <c r="E105" s="393">
        <f>Данные!E114</f>
        <v>94308</v>
      </c>
      <c r="F105" s="1"/>
    </row>
    <row r="106" spans="1:6" ht="12.75">
      <c r="A106" s="334">
        <v>5</v>
      </c>
      <c r="B106" s="384" t="s">
        <v>470</v>
      </c>
      <c r="C106" s="393">
        <f>Данные!C111</f>
        <v>65747</v>
      </c>
      <c r="D106" s="393">
        <f>Данные!D111</f>
        <v>65909</v>
      </c>
      <c r="E106" s="393">
        <f>Данные!E111</f>
        <v>122618</v>
      </c>
      <c r="F106" s="1"/>
    </row>
    <row r="107" spans="1:6" ht="12.75">
      <c r="A107" s="334">
        <v>6</v>
      </c>
      <c r="B107" s="384" t="s">
        <v>480</v>
      </c>
      <c r="C107" s="393">
        <f>Данные!C135</f>
        <v>15730</v>
      </c>
      <c r="D107" s="393">
        <f>Данные!D135</f>
        <v>15926</v>
      </c>
      <c r="E107" s="393">
        <f>Данные!E135</f>
        <v>37934</v>
      </c>
      <c r="F107" s="1"/>
    </row>
    <row r="108" spans="1:6" ht="12.75">
      <c r="A108" s="334">
        <v>7</v>
      </c>
      <c r="B108" s="392" t="s">
        <v>625</v>
      </c>
      <c r="C108" s="396">
        <f>C103/C102</f>
        <v>0.24351132907345882</v>
      </c>
      <c r="D108" s="396">
        <f>D103/D102</f>
        <v>0.30965735122195626</v>
      </c>
      <c r="E108" s="396">
        <f>E103/E102</f>
        <v>0.4132668750528005</v>
      </c>
      <c r="F108" s="1"/>
    </row>
    <row r="109" spans="1:6" ht="12.75">
      <c r="A109" s="334">
        <v>8</v>
      </c>
      <c r="B109" s="392" t="s">
        <v>626</v>
      </c>
      <c r="C109" s="396">
        <f>C107/C104</f>
        <v>0.15228672114006894</v>
      </c>
      <c r="D109" s="396">
        <f>D107/D104</f>
        <v>0.15956157136988908</v>
      </c>
      <c r="E109" s="396">
        <f>E107/E104</f>
        <v>0.35828197681282614</v>
      </c>
      <c r="F109" s="1"/>
    </row>
    <row r="110" spans="1:6" ht="12.75">
      <c r="A110" s="334">
        <v>9</v>
      </c>
      <c r="B110" s="392" t="s">
        <v>627</v>
      </c>
      <c r="C110" s="396">
        <f>C106/C102</f>
        <v>0.4859583054618293</v>
      </c>
      <c r="D110" s="396">
        <f>D106/D102</f>
        <v>0.4586441574347269</v>
      </c>
      <c r="E110" s="396">
        <f>E106/E102</f>
        <v>0.8287099771901665</v>
      </c>
      <c r="F110" s="1"/>
    </row>
    <row r="111" spans="1:6" ht="12.75">
      <c r="A111" s="334">
        <v>10</v>
      </c>
      <c r="B111" s="392" t="s">
        <v>628</v>
      </c>
      <c r="C111" s="396">
        <f>C107/C105</f>
        <v>0.28253762977332325</v>
      </c>
      <c r="D111" s="396">
        <f>D107/D105</f>
        <v>0.282691659122779</v>
      </c>
      <c r="E111" s="396">
        <f>E107/E105</f>
        <v>0.4022352292488442</v>
      </c>
      <c r="F111" s="1"/>
    </row>
    <row r="112" spans="1:6" ht="18.75" customHeight="1">
      <c r="A112" s="334">
        <v>11</v>
      </c>
      <c r="B112" s="392" t="s">
        <v>442</v>
      </c>
      <c r="C112" s="396">
        <f>8.38*C108+C109+0.054*C110+0.64*C111</f>
        <v>2.3999774903255195</v>
      </c>
      <c r="D112" s="396">
        <f>8.38*D108+D109+0.054*D110+0.64*D111</f>
        <v>2.960179620949937</v>
      </c>
      <c r="E112" s="396">
        <f>8.38*E108+E109+0.054*E110+0.64*E111</f>
        <v>4.123639275242824</v>
      </c>
      <c r="F112" s="1"/>
    </row>
    <row r="113" spans="1:6" ht="108">
      <c r="A113" s="334">
        <v>12</v>
      </c>
      <c r="B113" s="387" t="s">
        <v>614</v>
      </c>
      <c r="C113" s="395" t="str">
        <f>IF(C112&lt;0.18,"Вероятность банкротства высокая (60 - 80%), т.к. Z &lt; 0,18",IF(0.18&lt;C112&lt;0.32,"Вероятность банкротства средняя (30 - 50%), т.к. 0,18 &lt; Z &lt; 0,32",IF(C112&gt;0.42,"Вероятность банкротства очень мала (до 10%), т.к. Z&gt;0,42)","Вероятность банкротства невелика (менее 30%), т.к. 0,32&lt;Z&lt; 0,42")))</f>
        <v>Вероятность банкротства очень мала (до 10%), т.к. Z&gt;0,42)</v>
      </c>
      <c r="D113" s="395" t="str">
        <f>IF(D112&lt;0.18,"Вероятность банкротства высокая (60 - 80%), т.к. Z &lt; 0,18",IF(0.18&lt;D112&lt;0.32,"Вероятность банкротства средняя (30 - 50%), т.к. 0,18 &lt; Z &lt; 0,32",IF(D112&gt;0.42,"Вероятность банкротства очень мала (до 10%), т.к. Z&gt;0,42)","Вероятность банкротства невелика (менее 30%), т.к. 0,32&lt;Z&lt; 0,42")))</f>
        <v>Вероятность банкротства очень мала (до 10%), т.к. Z&gt;0,42)</v>
      </c>
      <c r="E113" s="395" t="str">
        <f>IF(E112&lt;0.18,"Вероятность банкротства высокая (60 - 80%), т.к. Z &lt; 0,18",IF(0.18&lt;E112&lt;0.32,"Вероятность банкротства средняя (30 - 50%), т.к. 0,18 &lt; Z &lt; 0,32",IF(E112&gt;0.42,"Вероятность банкротства очень мала (до 10%), т.к. Z&gt;0,42)","Вероятность банкротства невелика (менее 30%), т.к. 0,32&lt;Z&lt; 0,42")))</f>
        <v>Вероятность банкротства очень мала (до 10%), т.к. Z&gt;0,42)</v>
      </c>
      <c r="F113" s="1"/>
    </row>
    <row r="114" spans="2:6" ht="12.75">
      <c r="B114" s="397" t="s">
        <v>476</v>
      </c>
      <c r="C114" s="1"/>
      <c r="D114" s="1"/>
      <c r="E114" s="1"/>
      <c r="F114" s="1"/>
    </row>
    <row r="115" spans="2:6" ht="12.75">
      <c r="B115" s="1"/>
      <c r="C115" s="1"/>
      <c r="D115" s="1"/>
      <c r="E115" s="1"/>
      <c r="F115" s="1"/>
    </row>
    <row r="116" spans="2:6" ht="12.75">
      <c r="B116" s="1"/>
      <c r="C116" s="1"/>
      <c r="D116" s="1"/>
      <c r="E116" s="1"/>
      <c r="F116" s="1"/>
    </row>
    <row r="117" spans="2:6" ht="12.75">
      <c r="B117" s="1"/>
      <c r="C117" s="1"/>
      <c r="D117" s="1"/>
      <c r="E117" s="1"/>
      <c r="F117" s="1"/>
    </row>
    <row r="118" spans="2:6" ht="12.75">
      <c r="B118" s="1"/>
      <c r="C118" s="1"/>
      <c r="D118" s="1"/>
      <c r="E118" s="1"/>
      <c r="F118" s="1"/>
    </row>
    <row r="119" spans="2:6" ht="12.75">
      <c r="B119" s="1"/>
      <c r="C119" s="1"/>
      <c r="D119" s="1"/>
      <c r="E119" s="1"/>
      <c r="F119" s="1"/>
    </row>
    <row r="120" spans="2:6" ht="12.75">
      <c r="B120" s="1"/>
      <c r="C120" s="1"/>
      <c r="D120" s="1"/>
      <c r="E120" s="1"/>
      <c r="F120" s="1"/>
    </row>
    <row r="121" spans="2:6" ht="12.75">
      <c r="B121" s="1"/>
      <c r="C121" s="1"/>
      <c r="D121" s="1"/>
      <c r="E121" s="1"/>
      <c r="F121" s="1"/>
    </row>
    <row r="122" spans="2:6" ht="12.75">
      <c r="B122" s="1"/>
      <c r="C122" s="1"/>
      <c r="D122" s="1"/>
      <c r="E122" s="1"/>
      <c r="F122" s="1"/>
    </row>
    <row r="123" spans="2:6" ht="12.75">
      <c r="B123" s="1"/>
      <c r="C123" s="1"/>
      <c r="D123" s="1"/>
      <c r="E123" s="1"/>
      <c r="F123" s="1"/>
    </row>
    <row r="124" spans="2:6" ht="12.75">
      <c r="B124" s="1"/>
      <c r="C124" s="1"/>
      <c r="D124" s="1"/>
      <c r="E124" s="1"/>
      <c r="F124" s="1"/>
    </row>
    <row r="125" spans="2:6" ht="12.75">
      <c r="B125" s="1"/>
      <c r="C125" s="1"/>
      <c r="D125" s="1"/>
      <c r="E125" s="1"/>
      <c r="F125" s="1"/>
    </row>
    <row r="126" spans="2:6" ht="12.75">
      <c r="B126" s="1"/>
      <c r="C126" s="1"/>
      <c r="D126" s="1"/>
      <c r="E126" s="1"/>
      <c r="F126" s="1"/>
    </row>
    <row r="127" spans="2:6" ht="12.75">
      <c r="B127" s="1"/>
      <c r="C127" s="1"/>
      <c r="D127" s="1"/>
      <c r="E127" s="1"/>
      <c r="F127" s="1"/>
    </row>
    <row r="128" spans="2:6" ht="12.75">
      <c r="B128" s="1"/>
      <c r="C128" s="1"/>
      <c r="D128" s="1"/>
      <c r="E128" s="1"/>
      <c r="F128" s="1"/>
    </row>
    <row r="129" spans="2:6" ht="12.75">
      <c r="B129" s="1"/>
      <c r="C129" s="1"/>
      <c r="D129" s="1"/>
      <c r="E129" s="1"/>
      <c r="F129" s="1"/>
    </row>
    <row r="130" spans="2:6" ht="12.75">
      <c r="B130" s="1"/>
      <c r="C130" s="1"/>
      <c r="D130" s="1"/>
      <c r="E130" s="1"/>
      <c r="F130" s="1"/>
    </row>
    <row r="131" spans="2:6" ht="12.75">
      <c r="B131" s="1"/>
      <c r="C131" s="1"/>
      <c r="D131" s="1"/>
      <c r="E131" s="1"/>
      <c r="F131" s="1"/>
    </row>
  </sheetData>
  <sheetProtection/>
  <mergeCells count="12">
    <mergeCell ref="B14:F14"/>
    <mergeCell ref="B17:F17"/>
    <mergeCell ref="B97:E97"/>
    <mergeCell ref="B57:C57"/>
    <mergeCell ref="B77:C77"/>
    <mergeCell ref="B1:J1"/>
    <mergeCell ref="C3:F3"/>
    <mergeCell ref="B21:C21"/>
    <mergeCell ref="B36:C36"/>
    <mergeCell ref="B5:F5"/>
    <mergeCell ref="B8:F8"/>
    <mergeCell ref="B11:F11"/>
  </mergeCells>
  <printOptions/>
  <pageMargins left="0.75" right="0.75" top="1" bottom="1" header="0.5" footer="0.5"/>
  <pageSetup horizontalDpi="600" verticalDpi="600" orientation="portrait" paperSize="9" r:id="rId11"/>
  <rowBreaks count="2" manualBreakCount="2">
    <brk id="19" max="255" man="1"/>
    <brk id="56" max="255" man="1"/>
  </rowBreaks>
  <drawing r:id="rId10"/>
  <legacyDrawing r:id="rId9"/>
  <oleObjects>
    <oleObject progId="Equation.3" shapeId="229638" r:id="rId2"/>
    <oleObject progId="Equation.3" shapeId="229641" r:id="rId3"/>
    <oleObject progId="Equation.3" shapeId="229644" r:id="rId4"/>
    <oleObject progId="Equation.3" shapeId="229645" r:id="rId5"/>
    <oleObject progId="Equation.3" shapeId="229646" r:id="rId6"/>
    <oleObject progId="Equation.3" shapeId="229647" r:id="rId7"/>
    <oleObject progId="Equation.3" shapeId="229649" r:id="rId8"/>
  </oleObjects>
</worksheet>
</file>

<file path=xl/worksheets/sheet11.xml><?xml version="1.0" encoding="utf-8"?>
<worksheet xmlns="http://schemas.openxmlformats.org/spreadsheetml/2006/main" xmlns:r="http://schemas.openxmlformats.org/officeDocument/2006/relationships">
  <dimension ref="A1:E24"/>
  <sheetViews>
    <sheetView zoomScalePageLayoutView="0" workbookViewId="0" topLeftCell="A1">
      <selection activeCell="E1" sqref="E1"/>
    </sheetView>
  </sheetViews>
  <sheetFormatPr defaultColWidth="9.00390625" defaultRowHeight="12.75"/>
  <cols>
    <col min="1" max="1" width="39.875" style="0" customWidth="1"/>
    <col min="2" max="2" width="11.625" style="0" customWidth="1"/>
    <col min="3" max="3" width="11.375" style="0" customWidth="1"/>
    <col min="4" max="4" width="12.25390625" style="0" customWidth="1"/>
    <col min="5" max="5" width="10.375" style="0" customWidth="1"/>
  </cols>
  <sheetData>
    <row r="1" ht="12.75">
      <c r="A1" s="471" t="s">
        <v>615</v>
      </c>
    </row>
    <row r="3" spans="1:5" ht="32.25" customHeight="1">
      <c r="A3" s="472" t="s">
        <v>318</v>
      </c>
      <c r="B3" s="473">
        <v>37257</v>
      </c>
      <c r="C3" s="473">
        <v>37622</v>
      </c>
      <c r="D3" s="473">
        <v>37987</v>
      </c>
      <c r="E3" s="473">
        <v>38353</v>
      </c>
    </row>
    <row r="4" spans="1:5" ht="12.75">
      <c r="A4" s="613" t="s">
        <v>226</v>
      </c>
      <c r="B4" s="614"/>
      <c r="C4" s="614"/>
      <c r="D4" s="614"/>
      <c r="E4" s="615"/>
    </row>
    <row r="5" spans="1:5" ht="12.75">
      <c r="A5" s="326" t="s">
        <v>938</v>
      </c>
      <c r="B5" s="400">
        <f>SUM(B6,B7,B8,B9,B10)</f>
        <v>74319</v>
      </c>
      <c r="C5" s="400">
        <f>SUM(C6,C7,C8,C9,C10)</f>
        <v>78272</v>
      </c>
      <c r="D5" s="400">
        <f>SUM(D6,D7,D8,D9,D10)</f>
        <v>51776</v>
      </c>
      <c r="E5" s="400">
        <f>SUM(E6,E7,E8,E9,E10)</f>
        <v>53054</v>
      </c>
    </row>
    <row r="6" spans="1:5" ht="22.5">
      <c r="A6" s="102" t="s">
        <v>797</v>
      </c>
      <c r="B6" s="398">
        <f>Данные!C6</f>
        <v>0</v>
      </c>
      <c r="C6" s="398">
        <f>Данные!D6</f>
        <v>0</v>
      </c>
      <c r="D6" s="398">
        <f>Данные!E6</f>
        <v>0</v>
      </c>
      <c r="E6" s="398">
        <f>Данные!F6</f>
        <v>0</v>
      </c>
    </row>
    <row r="7" spans="1:5" ht="12.75">
      <c r="A7" s="102" t="s">
        <v>798</v>
      </c>
      <c r="B7" s="398">
        <f>Данные!C7+Данные!C9</f>
        <v>73257</v>
      </c>
      <c r="C7" s="398">
        <f>Данные!D7+Данные!D9</f>
        <v>77374</v>
      </c>
      <c r="D7" s="398">
        <f>Данные!E7+Данные!E9</f>
        <v>45089</v>
      </c>
      <c r="E7" s="398">
        <f>Данные!F7+Данные!F9</f>
        <v>53052</v>
      </c>
    </row>
    <row r="8" spans="1:5" ht="12.75">
      <c r="A8" s="102" t="s">
        <v>850</v>
      </c>
      <c r="B8" s="398">
        <f>Данные!C8</f>
        <v>1060</v>
      </c>
      <c r="C8" s="398">
        <f>Данные!D8</f>
        <v>896</v>
      </c>
      <c r="D8" s="398">
        <f>Данные!E8</f>
        <v>6685</v>
      </c>
      <c r="E8" s="398">
        <f>Данные!F8</f>
        <v>0</v>
      </c>
    </row>
    <row r="9" spans="1:5" ht="22.5">
      <c r="A9" s="102" t="s">
        <v>854</v>
      </c>
      <c r="B9" s="398">
        <f>Данные!C10+Данные!C11+Данные!C12</f>
        <v>2</v>
      </c>
      <c r="C9" s="398">
        <f>Данные!D10+Данные!D11+Данные!D12</f>
        <v>2</v>
      </c>
      <c r="D9" s="398">
        <f>Данные!E10+Данные!E11+Данные!E12</f>
        <v>2</v>
      </c>
      <c r="E9" s="398">
        <f>Данные!F10+Данные!F11+Данные!F12</f>
        <v>2</v>
      </c>
    </row>
    <row r="10" spans="1:5" ht="12.75">
      <c r="A10" s="102" t="s">
        <v>855</v>
      </c>
      <c r="B10" s="398">
        <f>Данные!C24</f>
        <v>0</v>
      </c>
      <c r="C10" s="398">
        <f>Данные!D24</f>
        <v>0</v>
      </c>
      <c r="D10" s="398">
        <f>Данные!E24</f>
        <v>0</v>
      </c>
      <c r="E10" s="398">
        <f>Данные!F24</f>
        <v>0</v>
      </c>
    </row>
    <row r="11" spans="1:5" ht="12.75">
      <c r="A11" s="326" t="s">
        <v>939</v>
      </c>
      <c r="B11" s="400">
        <f>SUM(B12,B13,B14,B15)</f>
        <v>49733</v>
      </c>
      <c r="C11" s="400">
        <f>SUM(C12,C13,C14,C15)</f>
        <v>68263</v>
      </c>
      <c r="D11" s="400">
        <f>SUM(D12,D13,D14,D15)</f>
        <v>89097</v>
      </c>
      <c r="E11" s="400">
        <f>SUM(E12,E13,E14,E15)</f>
        <v>101998</v>
      </c>
    </row>
    <row r="12" spans="1:5" ht="33.75">
      <c r="A12" s="102" t="s">
        <v>558</v>
      </c>
      <c r="B12" s="398">
        <f>Данные!C15+Данные!C23-Данные!C21+Данные!C46</f>
        <v>43736</v>
      </c>
      <c r="C12" s="398">
        <f>Данные!D15+Данные!D23-Данные!D21+Данные!D46</f>
        <v>56084</v>
      </c>
      <c r="D12" s="398">
        <f>Данные!E15+Данные!E23-Данные!E21+Данные!E46</f>
        <v>71463</v>
      </c>
      <c r="E12" s="398">
        <f>Данные!F15+Данные!F23-Данные!F21+Данные!F46</f>
        <v>87624</v>
      </c>
    </row>
    <row r="13" spans="1:5" ht="12.75">
      <c r="A13" s="102" t="s">
        <v>851</v>
      </c>
      <c r="B13" s="398">
        <f>Данные!C30-Данные!C34</f>
        <v>5433</v>
      </c>
      <c r="C13" s="398">
        <f>Данные!D30-Данные!D34</f>
        <v>11979</v>
      </c>
      <c r="D13" s="398">
        <f>Данные!E30-Данные!E34</f>
        <v>9389</v>
      </c>
      <c r="E13" s="398">
        <f>Данные!F30-Данные!F34</f>
        <v>13844</v>
      </c>
    </row>
    <row r="14" spans="1:5" ht="12.75">
      <c r="A14" s="102" t="s">
        <v>852</v>
      </c>
      <c r="B14" s="398">
        <f>Данные!C37</f>
        <v>0</v>
      </c>
      <c r="C14" s="398">
        <f>Данные!D37</f>
        <v>0</v>
      </c>
      <c r="D14" s="398">
        <f>Данные!E37</f>
        <v>0</v>
      </c>
      <c r="E14" s="398">
        <f>Данные!F37</f>
        <v>0</v>
      </c>
    </row>
    <row r="15" spans="1:5" ht="12.75">
      <c r="A15" s="102" t="s">
        <v>853</v>
      </c>
      <c r="B15" s="398">
        <f>Данные!C41</f>
        <v>564</v>
      </c>
      <c r="C15" s="398">
        <f>Данные!D41</f>
        <v>200</v>
      </c>
      <c r="D15" s="398">
        <f>Данные!E41</f>
        <v>8245</v>
      </c>
      <c r="E15" s="398">
        <f>Данные!F41</f>
        <v>530</v>
      </c>
    </row>
    <row r="16" spans="1:5" ht="12.75">
      <c r="A16" s="324" t="s">
        <v>940</v>
      </c>
      <c r="B16" s="399">
        <f>SUM(B5,B11)</f>
        <v>124052</v>
      </c>
      <c r="C16" s="399">
        <f>SUM(C5,C11)</f>
        <v>146535</v>
      </c>
      <c r="D16" s="399">
        <f>SUM(D5,D11)</f>
        <v>140873</v>
      </c>
      <c r="E16" s="399">
        <f>SUM(E5,E11)</f>
        <v>155052</v>
      </c>
    </row>
    <row r="17" spans="1:5" ht="12.75">
      <c r="A17" s="613" t="s">
        <v>227</v>
      </c>
      <c r="B17" s="613"/>
      <c r="C17" s="613"/>
      <c r="D17" s="613"/>
      <c r="E17" s="615"/>
    </row>
    <row r="18" spans="1:5" ht="22.5">
      <c r="A18" s="326" t="s">
        <v>856</v>
      </c>
      <c r="B18" s="400">
        <f>Данные!C81-Данные!C21-Данные!C34-Данные!C76+Данные!C103+Данные!C104</f>
        <v>96151</v>
      </c>
      <c r="C18" s="400">
        <f>Данные!D81-Данные!D21-Данные!D34-Данные!D76+Данные!D103+Данные!D104</f>
        <v>110433</v>
      </c>
      <c r="D18" s="400">
        <f>Данные!E81-Данные!E21-Данные!E34-Данные!E76+Данные!E103+Данные!E104</f>
        <v>89189</v>
      </c>
      <c r="E18" s="400">
        <f>Данные!F81-Данные!F21-Данные!F34-Данные!F76+Данные!F103+Данные!F104</f>
        <v>122566</v>
      </c>
    </row>
    <row r="19" spans="1:5" ht="45">
      <c r="A19" s="326" t="s">
        <v>857</v>
      </c>
      <c r="B19" s="400">
        <f>Данные!C83+Данные!C86+Данные!C87</f>
        <v>5320</v>
      </c>
      <c r="C19" s="400">
        <f>Данные!D83+Данные!D86+Данные!D87</f>
        <v>6578</v>
      </c>
      <c r="D19" s="400">
        <f>Данные!E83+Данные!E86+Данные!E87</f>
        <v>12846</v>
      </c>
      <c r="E19" s="400">
        <f>Данные!F83+Данные!F86+Данные!F87</f>
        <v>2525</v>
      </c>
    </row>
    <row r="20" spans="1:5" ht="33.75">
      <c r="A20" s="102" t="s">
        <v>1004</v>
      </c>
      <c r="B20" s="398">
        <f>Данные!C90+Данные!C76+Данные!C102</f>
        <v>786</v>
      </c>
      <c r="C20" s="398">
        <f>Данные!D90+Данные!D76+Данные!D102</f>
        <v>5898</v>
      </c>
      <c r="D20" s="398">
        <f>Данные!E90+Данные!E76+Данные!E102</f>
        <v>25000</v>
      </c>
      <c r="E20" s="398">
        <f>Данные!F90+Данные!F76+Данные!F102</f>
        <v>16327</v>
      </c>
    </row>
    <row r="21" spans="1:5" ht="22.5">
      <c r="A21" s="102" t="s">
        <v>1005</v>
      </c>
      <c r="B21" s="398">
        <f>Данные!C93+Данные!C105</f>
        <v>21795</v>
      </c>
      <c r="C21" s="398">
        <f>Данные!D93+Данные!D105</f>
        <v>23626</v>
      </c>
      <c r="D21" s="398">
        <f>Данные!E93+Данные!E105</f>
        <v>13838</v>
      </c>
      <c r="E21" s="398">
        <f>Данные!F93+Данные!F105</f>
        <v>13634</v>
      </c>
    </row>
    <row r="22" spans="1:5" ht="12.75">
      <c r="A22" s="326" t="s">
        <v>1006</v>
      </c>
      <c r="B22" s="400">
        <f>B20+B21</f>
        <v>22581</v>
      </c>
      <c r="C22" s="400">
        <f>C20+C21</f>
        <v>29524</v>
      </c>
      <c r="D22" s="400">
        <f>D20+D21</f>
        <v>38838</v>
      </c>
      <c r="E22" s="400">
        <f>E20+E21</f>
        <v>29961</v>
      </c>
    </row>
    <row r="23" spans="1:5" ht="12.75">
      <c r="A23" s="102" t="s">
        <v>942</v>
      </c>
      <c r="B23" s="398">
        <f>B19+B22</f>
        <v>27901</v>
      </c>
      <c r="C23" s="398">
        <f>C19+C22</f>
        <v>36102</v>
      </c>
      <c r="D23" s="398">
        <f>D19+D22</f>
        <v>51684</v>
      </c>
      <c r="E23" s="398">
        <f>E19+E22</f>
        <v>32486</v>
      </c>
    </row>
    <row r="24" spans="1:5" ht="12.75">
      <c r="A24" s="324" t="s">
        <v>943</v>
      </c>
      <c r="B24" s="399">
        <f>B18+B23</f>
        <v>124052</v>
      </c>
      <c r="C24" s="399">
        <f>C18+C23</f>
        <v>146535</v>
      </c>
      <c r="D24" s="399">
        <f>D18+D23</f>
        <v>140873</v>
      </c>
      <c r="E24" s="399">
        <f>E18+E23</f>
        <v>155052</v>
      </c>
    </row>
  </sheetData>
  <sheetProtection/>
  <mergeCells count="2">
    <mergeCell ref="A4:E4"/>
    <mergeCell ref="A17:E17"/>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M32"/>
  <sheetViews>
    <sheetView zoomScalePageLayoutView="0" workbookViewId="0" topLeftCell="A37">
      <selection activeCell="B2" sqref="B2"/>
    </sheetView>
  </sheetViews>
  <sheetFormatPr defaultColWidth="9.00390625" defaultRowHeight="12.75"/>
  <cols>
    <col min="1" max="1" width="3.875" style="0" customWidth="1"/>
    <col min="2" max="2" width="20.25390625" style="0" customWidth="1"/>
    <col min="4" max="4" width="8.875" style="0" customWidth="1"/>
    <col min="5" max="5" width="6.625" style="0" bestFit="1" customWidth="1"/>
    <col min="6" max="6" width="5.875" style="0" bestFit="1" customWidth="1"/>
    <col min="7" max="7" width="24.00390625" style="0" customWidth="1"/>
    <col min="8" max="8" width="9.375" style="0" customWidth="1"/>
    <col min="9" max="9" width="9.25390625" style="0" customWidth="1"/>
    <col min="10" max="10" width="6.625" style="0" bestFit="1" customWidth="1"/>
    <col min="11" max="11" width="5.875" style="0" bestFit="1" customWidth="1"/>
    <col min="12" max="12" width="9.25390625" style="0" bestFit="1" customWidth="1"/>
    <col min="13" max="13" width="9.00390625" style="0" customWidth="1"/>
  </cols>
  <sheetData>
    <row r="1" ht="22.5" customHeight="1"/>
    <row r="2" ht="12.75" customHeight="1">
      <c r="B2" s="14" t="s">
        <v>450</v>
      </c>
    </row>
    <row r="3" ht="14.25" customHeight="1"/>
    <row r="4" spans="2:13" ht="33" customHeight="1">
      <c r="B4" s="616" t="s">
        <v>402</v>
      </c>
      <c r="C4" s="617" t="s">
        <v>354</v>
      </c>
      <c r="D4" s="617"/>
      <c r="E4" s="617" t="s">
        <v>407</v>
      </c>
      <c r="F4" s="617"/>
      <c r="G4" s="616" t="s">
        <v>403</v>
      </c>
      <c r="H4" s="617" t="s">
        <v>354</v>
      </c>
      <c r="I4" s="617"/>
      <c r="J4" s="617" t="s">
        <v>407</v>
      </c>
      <c r="K4" s="617"/>
      <c r="L4" s="617" t="s">
        <v>408</v>
      </c>
      <c r="M4" s="617"/>
    </row>
    <row r="5" spans="2:13" ht="24" customHeight="1">
      <c r="B5" s="616"/>
      <c r="C5" s="328" t="s">
        <v>404</v>
      </c>
      <c r="D5" s="328" t="s">
        <v>405</v>
      </c>
      <c r="E5" s="328" t="s">
        <v>404</v>
      </c>
      <c r="F5" s="328" t="s">
        <v>405</v>
      </c>
      <c r="G5" s="616"/>
      <c r="H5" s="328" t="s">
        <v>404</v>
      </c>
      <c r="I5" s="328" t="s">
        <v>405</v>
      </c>
      <c r="J5" s="328" t="s">
        <v>404</v>
      </c>
      <c r="K5" s="328" t="s">
        <v>405</v>
      </c>
      <c r="L5" s="328" t="s">
        <v>404</v>
      </c>
      <c r="M5" s="328" t="s">
        <v>405</v>
      </c>
    </row>
    <row r="6" spans="2:13" ht="49.5" customHeight="1">
      <c r="B6" s="63" t="s">
        <v>549</v>
      </c>
      <c r="C6" s="300">
        <f>АналитБал!B14+АналитБал!B15</f>
        <v>564</v>
      </c>
      <c r="D6" s="300">
        <f>АналитБал!C14+АналитБал!C15</f>
        <v>200</v>
      </c>
      <c r="E6" s="300">
        <f>C6/C10*100</f>
        <v>0.4546480508173992</v>
      </c>
      <c r="F6" s="300">
        <f>D6/D10*100</f>
        <v>0.13648616371515337</v>
      </c>
      <c r="G6" s="63" t="s">
        <v>557</v>
      </c>
      <c r="H6" s="300">
        <f>АналитБал!B21</f>
        <v>21795</v>
      </c>
      <c r="I6" s="300">
        <f>АналитБал!C21</f>
        <v>23626</v>
      </c>
      <c r="J6" s="300">
        <f>H6/H10*100</f>
        <v>17.569245155257473</v>
      </c>
      <c r="K6" s="300">
        <f>I6/I10*100</f>
        <v>16.12311051967107</v>
      </c>
      <c r="L6" s="300">
        <f aca="true" t="shared" si="0" ref="L6:M9">C6-H6</f>
        <v>-21231</v>
      </c>
      <c r="M6" s="300">
        <f t="shared" si="0"/>
        <v>-23426</v>
      </c>
    </row>
    <row r="7" spans="2:13" ht="51.75" customHeight="1">
      <c r="B7" s="64" t="s">
        <v>551</v>
      </c>
      <c r="C7" s="300">
        <f>АналитБал!B13</f>
        <v>5433</v>
      </c>
      <c r="D7" s="300">
        <f>АналитБал!C13</f>
        <v>11979</v>
      </c>
      <c r="E7" s="300">
        <f>C7/C10*100</f>
        <v>4.379615000161223</v>
      </c>
      <c r="F7" s="300">
        <f>D7/D10*100</f>
        <v>8.174838775719111</v>
      </c>
      <c r="G7" s="63" t="s">
        <v>552</v>
      </c>
      <c r="H7" s="300">
        <f>АналитБал!B20</f>
        <v>786</v>
      </c>
      <c r="I7" s="300">
        <f>АналитБал!C20</f>
        <v>5898</v>
      </c>
      <c r="J7" s="300">
        <f>H7/H10*100</f>
        <v>0.6336052623093541</v>
      </c>
      <c r="K7" s="300">
        <f>I7/I10*100</f>
        <v>4.024976967959873</v>
      </c>
      <c r="L7" s="300">
        <f t="shared" si="0"/>
        <v>4647</v>
      </c>
      <c r="M7" s="300">
        <f t="shared" si="0"/>
        <v>6081</v>
      </c>
    </row>
    <row r="8" spans="2:13" ht="52.5" customHeight="1">
      <c r="B8" s="63" t="s">
        <v>559</v>
      </c>
      <c r="C8" s="300">
        <f>АналитБал!B12</f>
        <v>43736</v>
      </c>
      <c r="D8" s="300">
        <f>АналитБал!C12</f>
        <v>56084</v>
      </c>
      <c r="E8" s="300">
        <f>C8/C10*100</f>
        <v>35.25618289104569</v>
      </c>
      <c r="F8" s="300">
        <f>D8/D10*100</f>
        <v>38.27345002900331</v>
      </c>
      <c r="G8" s="63" t="s">
        <v>553</v>
      </c>
      <c r="H8" s="300">
        <f>АналитБал!B19</f>
        <v>5320</v>
      </c>
      <c r="I8" s="300">
        <f>АналитБал!C19</f>
        <v>6578</v>
      </c>
      <c r="J8" s="300">
        <f>H8/H10*100</f>
        <v>4.288524167284687</v>
      </c>
      <c r="K8" s="300">
        <f>I8/I10*100</f>
        <v>4.489029924591394</v>
      </c>
      <c r="L8" s="300">
        <f t="shared" si="0"/>
        <v>38416</v>
      </c>
      <c r="M8" s="300">
        <f t="shared" si="0"/>
        <v>49506</v>
      </c>
    </row>
    <row r="9" spans="2:13" ht="51">
      <c r="B9" s="63" t="s">
        <v>550</v>
      </c>
      <c r="C9" s="300">
        <f>АналитБал!B5</f>
        <v>74319</v>
      </c>
      <c r="D9" s="300">
        <f>АналитБал!C5</f>
        <v>78272</v>
      </c>
      <c r="E9" s="300">
        <f>C9/C10*100</f>
        <v>59.90955405797569</v>
      </c>
      <c r="F9" s="300">
        <f>D9/D10*100</f>
        <v>53.41522503156243</v>
      </c>
      <c r="G9" s="63" t="s">
        <v>554</v>
      </c>
      <c r="H9" s="300">
        <f>АналитБал!B18</f>
        <v>96151</v>
      </c>
      <c r="I9" s="300">
        <f>АналитБал!C18</f>
        <v>110433</v>
      </c>
      <c r="J9" s="300">
        <f>H9/H10*100</f>
        <v>77.50862541514849</v>
      </c>
      <c r="K9" s="300">
        <f>I9/I10*100</f>
        <v>75.36288258777766</v>
      </c>
      <c r="L9" s="300">
        <f t="shared" si="0"/>
        <v>-21832</v>
      </c>
      <c r="M9" s="300">
        <f t="shared" si="0"/>
        <v>-32161</v>
      </c>
    </row>
    <row r="10" spans="2:13" ht="19.5" customHeight="1">
      <c r="B10" s="327" t="s">
        <v>406</v>
      </c>
      <c r="C10" s="301">
        <f>SUM(C6:C9)</f>
        <v>124052</v>
      </c>
      <c r="D10" s="301">
        <f>SUM(D6:D9)</f>
        <v>146535</v>
      </c>
      <c r="E10" s="301">
        <f>SUM(E6:E9)</f>
        <v>100</v>
      </c>
      <c r="F10" s="301">
        <f>SUM(F6:F9)</f>
        <v>100</v>
      </c>
      <c r="G10" s="327" t="s">
        <v>406</v>
      </c>
      <c r="H10" s="301">
        <f aca="true" t="shared" si="1" ref="H10:M10">SUM(H6:H9)</f>
        <v>124052</v>
      </c>
      <c r="I10" s="301">
        <f t="shared" si="1"/>
        <v>146535</v>
      </c>
      <c r="J10" s="301">
        <f t="shared" si="1"/>
        <v>100</v>
      </c>
      <c r="K10" s="301">
        <f t="shared" si="1"/>
        <v>100</v>
      </c>
      <c r="L10" s="301">
        <f t="shared" si="1"/>
        <v>0</v>
      </c>
      <c r="M10" s="301">
        <f t="shared" si="1"/>
        <v>0</v>
      </c>
    </row>
    <row r="11" spans="2:13" ht="12.75">
      <c r="B11" s="15"/>
      <c r="C11" s="15"/>
      <c r="D11" s="15"/>
      <c r="E11" s="15"/>
      <c r="F11" s="15"/>
      <c r="G11" s="15"/>
      <c r="H11" s="15"/>
      <c r="I11" s="15"/>
      <c r="J11" s="15"/>
      <c r="K11" s="15"/>
      <c r="L11" s="15"/>
      <c r="M11" s="15"/>
    </row>
    <row r="12" ht="12" customHeight="1"/>
    <row r="13" ht="12.75">
      <c r="B13" s="14" t="s">
        <v>780</v>
      </c>
    </row>
    <row r="15" spans="2:13" ht="30" customHeight="1">
      <c r="B15" s="616" t="s">
        <v>402</v>
      </c>
      <c r="C15" s="619" t="s">
        <v>354</v>
      </c>
      <c r="D15" s="620"/>
      <c r="E15" s="619" t="s">
        <v>407</v>
      </c>
      <c r="F15" s="620"/>
      <c r="G15" s="616" t="s">
        <v>403</v>
      </c>
      <c r="H15" s="618" t="s">
        <v>354</v>
      </c>
      <c r="I15" s="618"/>
      <c r="J15" s="618" t="s">
        <v>407</v>
      </c>
      <c r="K15" s="618"/>
      <c r="L15" s="618" t="s">
        <v>408</v>
      </c>
      <c r="M15" s="618"/>
    </row>
    <row r="16" spans="2:13" ht="39.75" customHeight="1">
      <c r="B16" s="616"/>
      <c r="C16" s="328" t="s">
        <v>404</v>
      </c>
      <c r="D16" s="328" t="s">
        <v>405</v>
      </c>
      <c r="E16" s="328" t="s">
        <v>404</v>
      </c>
      <c r="F16" s="328" t="s">
        <v>405</v>
      </c>
      <c r="G16" s="616"/>
      <c r="H16" s="328" t="s">
        <v>404</v>
      </c>
      <c r="I16" s="328" t="s">
        <v>405</v>
      </c>
      <c r="J16" s="328" t="s">
        <v>404</v>
      </c>
      <c r="K16" s="328" t="s">
        <v>405</v>
      </c>
      <c r="L16" s="328" t="s">
        <v>404</v>
      </c>
      <c r="M16" s="328" t="s">
        <v>405</v>
      </c>
    </row>
    <row r="17" spans="2:13" ht="49.5" customHeight="1">
      <c r="B17" s="63" t="s">
        <v>549</v>
      </c>
      <c r="C17" s="300">
        <f>АналитБал!C15+АналитБал!C14</f>
        <v>200</v>
      </c>
      <c r="D17" s="300">
        <f>АналитБал!D15+АналитБал!D14</f>
        <v>8245</v>
      </c>
      <c r="E17" s="300">
        <f>C17/C21*100</f>
        <v>0.13648616371515337</v>
      </c>
      <c r="F17" s="300">
        <f>D17/D21*100</f>
        <v>5.852789391863594</v>
      </c>
      <c r="G17" s="63" t="s">
        <v>557</v>
      </c>
      <c r="H17" s="300">
        <f>АналитБал!C21</f>
        <v>23626</v>
      </c>
      <c r="I17" s="300">
        <f>АналитБал!D21</f>
        <v>13838</v>
      </c>
      <c r="J17" s="300">
        <f>H17/H21*100</f>
        <v>16.12311051967107</v>
      </c>
      <c r="K17" s="300">
        <f>I17/I21*100</f>
        <v>9.82303209273601</v>
      </c>
      <c r="L17" s="300">
        <f aca="true" t="shared" si="2" ref="L17:M20">C17-H17</f>
        <v>-23426</v>
      </c>
      <c r="M17" s="300">
        <f t="shared" si="2"/>
        <v>-5593</v>
      </c>
    </row>
    <row r="18" spans="2:13" ht="51" customHeight="1">
      <c r="B18" s="64" t="s">
        <v>551</v>
      </c>
      <c r="C18" s="300">
        <f>АналитБал!C13</f>
        <v>11979</v>
      </c>
      <c r="D18" s="300">
        <f>АналитБал!D13</f>
        <v>9389</v>
      </c>
      <c r="E18" s="300">
        <f>C18/C21*100</f>
        <v>8.174838775719111</v>
      </c>
      <c r="F18" s="300">
        <f>D18/D21*100</f>
        <v>6.6648683566048845</v>
      </c>
      <c r="G18" s="63" t="s">
        <v>552</v>
      </c>
      <c r="H18" s="300">
        <f>АналитБал!C20</f>
        <v>5898</v>
      </c>
      <c r="I18" s="300">
        <f>АналитБал!D20</f>
        <v>25000</v>
      </c>
      <c r="J18" s="300">
        <f>H18/H21*100</f>
        <v>4.024976967959873</v>
      </c>
      <c r="K18" s="300">
        <f>I18/I21*100</f>
        <v>17.746480872842916</v>
      </c>
      <c r="L18" s="300">
        <f t="shared" si="2"/>
        <v>6081</v>
      </c>
      <c r="M18" s="300">
        <f t="shared" si="2"/>
        <v>-15611</v>
      </c>
    </row>
    <row r="19" spans="2:13" ht="51" customHeight="1">
      <c r="B19" s="63" t="s">
        <v>559</v>
      </c>
      <c r="C19" s="300">
        <f>АналитБал!C12</f>
        <v>56084</v>
      </c>
      <c r="D19" s="300">
        <f>АналитБал!D12</f>
        <v>71463</v>
      </c>
      <c r="E19" s="300">
        <f>C19/C21*100</f>
        <v>38.27345002900331</v>
      </c>
      <c r="F19" s="300">
        <f>D19/D21*100</f>
        <v>50.72867050463893</v>
      </c>
      <c r="G19" s="63" t="s">
        <v>553</v>
      </c>
      <c r="H19" s="300">
        <f>АналитБал!C19</f>
        <v>6578</v>
      </c>
      <c r="I19" s="300">
        <f>АналитБал!D19</f>
        <v>12846</v>
      </c>
      <c r="J19" s="300">
        <f>H19/H21*100</f>
        <v>4.489029924591394</v>
      </c>
      <c r="K19" s="300">
        <f>I19/I21*100</f>
        <v>9.118851731701604</v>
      </c>
      <c r="L19" s="300">
        <f t="shared" si="2"/>
        <v>49506</v>
      </c>
      <c r="M19" s="300">
        <f t="shared" si="2"/>
        <v>58617</v>
      </c>
    </row>
    <row r="20" spans="2:13" ht="51" customHeight="1">
      <c r="B20" s="63" t="s">
        <v>550</v>
      </c>
      <c r="C20" s="300">
        <f>АналитБал!C5</f>
        <v>78272</v>
      </c>
      <c r="D20" s="300">
        <f>АналитБал!D5</f>
        <v>51776</v>
      </c>
      <c r="E20" s="300">
        <f>C20/C21*100</f>
        <v>53.41522503156243</v>
      </c>
      <c r="F20" s="300">
        <f>D20/D21*100</f>
        <v>36.75367174689259</v>
      </c>
      <c r="G20" s="63" t="s">
        <v>554</v>
      </c>
      <c r="H20" s="300">
        <f>АналитБал!C18</f>
        <v>110433</v>
      </c>
      <c r="I20" s="300">
        <f>АналитБал!D18</f>
        <v>89189</v>
      </c>
      <c r="J20" s="300">
        <f>H20/H21*100</f>
        <v>75.36288258777766</v>
      </c>
      <c r="K20" s="300">
        <f>I20/I21*100</f>
        <v>63.31163530271947</v>
      </c>
      <c r="L20" s="300">
        <f t="shared" si="2"/>
        <v>-32161</v>
      </c>
      <c r="M20" s="300">
        <f t="shared" si="2"/>
        <v>-37413</v>
      </c>
    </row>
    <row r="21" spans="2:13" ht="19.5" customHeight="1">
      <c r="B21" s="327" t="s">
        <v>406</v>
      </c>
      <c r="C21" s="301">
        <f>SUM(C17:C20)</f>
        <v>146535</v>
      </c>
      <c r="D21" s="301">
        <f>SUM(D17:D20)</f>
        <v>140873</v>
      </c>
      <c r="E21" s="301">
        <f>SUM(E17:E20)</f>
        <v>100</v>
      </c>
      <c r="F21" s="301">
        <f>SUM(F17:F20)</f>
        <v>100</v>
      </c>
      <c r="G21" s="327" t="s">
        <v>406</v>
      </c>
      <c r="H21" s="301">
        <f aca="true" t="shared" si="3" ref="H21:M21">SUM(H17:H20)</f>
        <v>146535</v>
      </c>
      <c r="I21" s="301">
        <f t="shared" si="3"/>
        <v>140873</v>
      </c>
      <c r="J21" s="301">
        <f t="shared" si="3"/>
        <v>100</v>
      </c>
      <c r="K21" s="301">
        <f t="shared" si="3"/>
        <v>100</v>
      </c>
      <c r="L21" s="301">
        <f t="shared" si="3"/>
        <v>0</v>
      </c>
      <c r="M21" s="301">
        <f t="shared" si="3"/>
        <v>0</v>
      </c>
    </row>
    <row r="24" ht="12.75">
      <c r="B24" s="14" t="s">
        <v>29</v>
      </c>
    </row>
    <row r="26" spans="2:13" ht="30" customHeight="1">
      <c r="B26" s="616" t="s">
        <v>402</v>
      </c>
      <c r="C26" s="617" t="s">
        <v>354</v>
      </c>
      <c r="D26" s="617"/>
      <c r="E26" s="617" t="s">
        <v>407</v>
      </c>
      <c r="F26" s="617"/>
      <c r="G26" s="616" t="s">
        <v>403</v>
      </c>
      <c r="H26" s="617" t="s">
        <v>354</v>
      </c>
      <c r="I26" s="617"/>
      <c r="J26" s="617" t="s">
        <v>407</v>
      </c>
      <c r="K26" s="617"/>
      <c r="L26" s="617" t="s">
        <v>408</v>
      </c>
      <c r="M26" s="617"/>
    </row>
    <row r="27" spans="2:13" ht="39.75" customHeight="1">
      <c r="B27" s="616"/>
      <c r="C27" s="328" t="s">
        <v>404</v>
      </c>
      <c r="D27" s="328" t="s">
        <v>405</v>
      </c>
      <c r="E27" s="328" t="s">
        <v>404</v>
      </c>
      <c r="F27" s="328" t="s">
        <v>405</v>
      </c>
      <c r="G27" s="616"/>
      <c r="H27" s="328" t="s">
        <v>404</v>
      </c>
      <c r="I27" s="328" t="s">
        <v>405</v>
      </c>
      <c r="J27" s="328" t="s">
        <v>404</v>
      </c>
      <c r="K27" s="328" t="s">
        <v>405</v>
      </c>
      <c r="L27" s="328" t="s">
        <v>404</v>
      </c>
      <c r="M27" s="328" t="s">
        <v>405</v>
      </c>
    </row>
    <row r="28" spans="2:13" ht="49.5" customHeight="1">
      <c r="B28" s="63" t="s">
        <v>549</v>
      </c>
      <c r="C28" s="300">
        <f>АналитБал!D15+АналитБал!D14</f>
        <v>8245</v>
      </c>
      <c r="D28" s="300">
        <f>АналитБал!E15+АналитБал!E14</f>
        <v>530</v>
      </c>
      <c r="E28" s="300">
        <f>C28/C32*100</f>
        <v>5.852789391863594</v>
      </c>
      <c r="F28" s="300">
        <f>D28/D32*100</f>
        <v>0.3418208085029538</v>
      </c>
      <c r="G28" s="63" t="s">
        <v>557</v>
      </c>
      <c r="H28" s="300">
        <f>АналитБал!D21</f>
        <v>13838</v>
      </c>
      <c r="I28" s="300">
        <f>АналитБал!E21</f>
        <v>13634</v>
      </c>
      <c r="J28" s="300">
        <f>H28/H32*100</f>
        <v>9.82303209273601</v>
      </c>
      <c r="K28" s="300">
        <f>I28/I32*100</f>
        <v>8.793179062508063</v>
      </c>
      <c r="L28" s="300">
        <f aca="true" t="shared" si="4" ref="L28:M31">C28-H28</f>
        <v>-5593</v>
      </c>
      <c r="M28" s="300">
        <f t="shared" si="4"/>
        <v>-13104</v>
      </c>
    </row>
    <row r="29" spans="2:13" ht="51">
      <c r="B29" s="64" t="s">
        <v>551</v>
      </c>
      <c r="C29" s="300">
        <f>АналитБал!D13</f>
        <v>9389</v>
      </c>
      <c r="D29" s="300">
        <f>АналитБал!E13</f>
        <v>13844</v>
      </c>
      <c r="E29" s="300">
        <f>C29*100/C32</f>
        <v>6.664868356604885</v>
      </c>
      <c r="F29" s="300">
        <f>D29*100/D32</f>
        <v>8.928617496065836</v>
      </c>
      <c r="G29" s="63" t="s">
        <v>552</v>
      </c>
      <c r="H29" s="300">
        <f>АналитБал!D20</f>
        <v>25000</v>
      </c>
      <c r="I29" s="300">
        <f>АналитБал!E20</f>
        <v>16327</v>
      </c>
      <c r="J29" s="300">
        <f>H29/H32*100</f>
        <v>17.746480872842916</v>
      </c>
      <c r="K29" s="300">
        <f>I29/I32*100</f>
        <v>10.53001573665609</v>
      </c>
      <c r="L29" s="300">
        <f t="shared" si="4"/>
        <v>-15611</v>
      </c>
      <c r="M29" s="300">
        <f t="shared" si="4"/>
        <v>-2483</v>
      </c>
    </row>
    <row r="30" spans="2:13" ht="51" customHeight="1">
      <c r="B30" s="63" t="s">
        <v>559</v>
      </c>
      <c r="C30" s="300">
        <f>АналитБал!D12</f>
        <v>71463</v>
      </c>
      <c r="D30" s="300">
        <f>АналитБал!E12</f>
        <v>87624</v>
      </c>
      <c r="E30" s="300">
        <f>C30/C32*100</f>
        <v>50.72867050463893</v>
      </c>
      <c r="F30" s="300">
        <f>D30/D32*100</f>
        <v>56.51265381936382</v>
      </c>
      <c r="G30" s="63" t="s">
        <v>553</v>
      </c>
      <c r="H30" s="300">
        <f>АналитБал!D19</f>
        <v>12846</v>
      </c>
      <c r="I30" s="300">
        <f>АналитБал!E19</f>
        <v>2525</v>
      </c>
      <c r="J30" s="300">
        <f>H30/H32*100</f>
        <v>9.118851731701604</v>
      </c>
      <c r="K30" s="300">
        <f>I30/I32*100</f>
        <v>1.6284859273018082</v>
      </c>
      <c r="L30" s="300">
        <f t="shared" si="4"/>
        <v>58617</v>
      </c>
      <c r="M30" s="300">
        <f t="shared" si="4"/>
        <v>85099</v>
      </c>
    </row>
    <row r="31" spans="2:13" ht="51" customHeight="1">
      <c r="B31" s="63" t="s">
        <v>550</v>
      </c>
      <c r="C31" s="300">
        <f>АналитБал!D5</f>
        <v>51776</v>
      </c>
      <c r="D31" s="300">
        <f>АналитБал!E5</f>
        <v>53054</v>
      </c>
      <c r="E31" s="300">
        <f>C31/C32*100</f>
        <v>36.75367174689259</v>
      </c>
      <c r="F31" s="300">
        <f>D31/D32*100</f>
        <v>34.21690787606738</v>
      </c>
      <c r="G31" s="63" t="s">
        <v>554</v>
      </c>
      <c r="H31" s="300">
        <f>АналитБал!D18</f>
        <v>89189</v>
      </c>
      <c r="I31" s="300">
        <f>АналитБал!E18</f>
        <v>122566</v>
      </c>
      <c r="J31" s="300">
        <f>H31/H32*100</f>
        <v>63.31163530271947</v>
      </c>
      <c r="K31" s="300">
        <f>I31/I32*100</f>
        <v>79.04831927353403</v>
      </c>
      <c r="L31" s="300">
        <f t="shared" si="4"/>
        <v>-37413</v>
      </c>
      <c r="M31" s="300">
        <f t="shared" si="4"/>
        <v>-69512</v>
      </c>
    </row>
    <row r="32" spans="2:13" ht="19.5" customHeight="1">
      <c r="B32" s="327" t="s">
        <v>406</v>
      </c>
      <c r="C32" s="301">
        <f>SUM(C28:C31)</f>
        <v>140873</v>
      </c>
      <c r="D32" s="301">
        <f>SUM(D28:D31)</f>
        <v>155052</v>
      </c>
      <c r="E32" s="301">
        <f>SUM(E28:E31)</f>
        <v>100</v>
      </c>
      <c r="F32" s="301">
        <f>SUM(F28:F31)</f>
        <v>99.99999999999999</v>
      </c>
      <c r="G32" s="327" t="s">
        <v>406</v>
      </c>
      <c r="H32" s="301">
        <f aca="true" t="shared" si="5" ref="H32:M32">SUM(H28:H31)</f>
        <v>140873</v>
      </c>
      <c r="I32" s="301">
        <f t="shared" si="5"/>
        <v>155052</v>
      </c>
      <c r="J32" s="301">
        <f t="shared" si="5"/>
        <v>100</v>
      </c>
      <c r="K32" s="301">
        <f t="shared" si="5"/>
        <v>100</v>
      </c>
      <c r="L32" s="301">
        <f t="shared" si="5"/>
        <v>0</v>
      </c>
      <c r="M32" s="301">
        <f t="shared" si="5"/>
        <v>0</v>
      </c>
    </row>
  </sheetData>
  <sheetProtection/>
  <mergeCells count="21">
    <mergeCell ref="B15:B16"/>
    <mergeCell ref="B4:B5"/>
    <mergeCell ref="E4:F4"/>
    <mergeCell ref="G4:G5"/>
    <mergeCell ref="E15:F15"/>
    <mergeCell ref="G15:G16"/>
    <mergeCell ref="C15:D15"/>
    <mergeCell ref="C4:D4"/>
    <mergeCell ref="L26:M26"/>
    <mergeCell ref="J4:K4"/>
    <mergeCell ref="L4:M4"/>
    <mergeCell ref="H4:I4"/>
    <mergeCell ref="H15:I15"/>
    <mergeCell ref="J15:K15"/>
    <mergeCell ref="L15:M15"/>
    <mergeCell ref="B26:B27"/>
    <mergeCell ref="C26:D26"/>
    <mergeCell ref="E26:F26"/>
    <mergeCell ref="G26:G27"/>
    <mergeCell ref="H26:I26"/>
    <mergeCell ref="J26:K26"/>
  </mergeCells>
  <printOptions/>
  <pageMargins left="0.75" right="0.75" top="1" bottom="1" header="0.5" footer="0.5"/>
  <pageSetup horizontalDpi="300" verticalDpi="300" orientation="landscape" paperSize="9" r:id="rId1"/>
  <rowBreaks count="2" manualBreakCount="2">
    <brk id="12" max="12" man="1"/>
    <brk id="23" max="12" man="1"/>
  </rowBreaks>
</worksheet>
</file>

<file path=xl/worksheets/sheet13.xml><?xml version="1.0" encoding="utf-8"?>
<worksheet xmlns="http://schemas.openxmlformats.org/spreadsheetml/2006/main" xmlns:r="http://schemas.openxmlformats.org/officeDocument/2006/relationships">
  <dimension ref="B30:IU49"/>
  <sheetViews>
    <sheetView zoomScalePageLayoutView="0" workbookViewId="0" topLeftCell="A19">
      <selection activeCell="A31" sqref="A31"/>
    </sheetView>
  </sheetViews>
  <sheetFormatPr defaultColWidth="9.00390625" defaultRowHeight="12.75"/>
  <cols>
    <col min="1" max="1" width="1.875" style="0" customWidth="1"/>
    <col min="2" max="2" width="8.625" style="0" bestFit="1" customWidth="1"/>
    <col min="3" max="3" width="13.75390625" style="0" bestFit="1" customWidth="1"/>
    <col min="4" max="4" width="15.125" style="0" bestFit="1" customWidth="1"/>
    <col min="5" max="5" width="13.75390625" style="0" bestFit="1" customWidth="1"/>
    <col min="6" max="6" width="15.125" style="0" bestFit="1" customWidth="1"/>
    <col min="7" max="7" width="13.75390625" style="0" bestFit="1" customWidth="1"/>
    <col min="8" max="8" width="15.125" style="0" bestFit="1" customWidth="1"/>
    <col min="9" max="9" width="13.75390625" style="0" bestFit="1" customWidth="1"/>
    <col min="10" max="10" width="15.125" style="0" bestFit="1" customWidth="1"/>
    <col min="12" max="12" width="3.00390625" style="0" customWidth="1"/>
  </cols>
  <sheetData>
    <row r="30" spans="2:10" ht="12.75">
      <c r="B30" s="117"/>
      <c r="C30" s="118" t="s">
        <v>448</v>
      </c>
      <c r="D30" s="118" t="s">
        <v>449</v>
      </c>
      <c r="E30" s="118" t="s">
        <v>772</v>
      </c>
      <c r="F30" s="118" t="s">
        <v>773</v>
      </c>
      <c r="G30" s="118" t="s">
        <v>790</v>
      </c>
      <c r="H30" s="118" t="s">
        <v>791</v>
      </c>
      <c r="I30" s="118" t="s">
        <v>30</v>
      </c>
      <c r="J30" s="118" t="s">
        <v>31</v>
      </c>
    </row>
    <row r="31" spans="2:255" ht="12.75">
      <c r="B31" s="117" t="s">
        <v>782</v>
      </c>
      <c r="C31" s="302">
        <f>Ликвидность!C6</f>
        <v>564</v>
      </c>
      <c r="D31" s="302">
        <f>Ликвидность!H6</f>
        <v>21795</v>
      </c>
      <c r="E31" s="302">
        <f>Ликвидность!C17</f>
        <v>200</v>
      </c>
      <c r="F31" s="302">
        <f>Ликвидность!H17</f>
        <v>23626</v>
      </c>
      <c r="G31" s="302">
        <f>Ликвидность!C28</f>
        <v>8245</v>
      </c>
      <c r="H31" s="302">
        <f>Ликвидность!H28</f>
        <v>13838</v>
      </c>
      <c r="I31" s="302">
        <f>Ликвидность!D28</f>
        <v>530</v>
      </c>
      <c r="J31" s="302">
        <f>Ликвидность!I28</f>
        <v>13634</v>
      </c>
      <c r="K31" s="92"/>
      <c r="L31" s="92"/>
      <c r="M31" s="92"/>
      <c r="N31" s="92"/>
      <c r="O31" s="92"/>
      <c r="P31" s="92"/>
      <c r="Q31" s="92"/>
      <c r="S31" s="92"/>
      <c r="T31" s="92"/>
      <c r="U31" s="92"/>
      <c r="V31" s="92"/>
      <c r="W31" s="92"/>
      <c r="X31" s="92"/>
      <c r="Y31" s="92"/>
      <c r="Z31" s="92"/>
      <c r="AB31" s="92"/>
      <c r="AC31" s="92"/>
      <c r="AD31" s="92"/>
      <c r="AE31" s="92"/>
      <c r="AF31" s="92"/>
      <c r="AG31" s="92"/>
      <c r="AH31" s="92"/>
      <c r="AI31" s="92"/>
      <c r="AK31" s="92"/>
      <c r="AL31" s="92"/>
      <c r="AM31" s="92"/>
      <c r="AN31" s="92"/>
      <c r="AO31" s="92"/>
      <c r="AP31" s="92"/>
      <c r="AQ31" s="92"/>
      <c r="AR31" s="92"/>
      <c r="AT31" s="92"/>
      <c r="AU31" s="92"/>
      <c r="AV31" s="92"/>
      <c r="AW31" s="92"/>
      <c r="AX31" s="92"/>
      <c r="AY31" s="92"/>
      <c r="AZ31" s="92"/>
      <c r="BA31" s="92"/>
      <c r="BC31" s="92"/>
      <c r="BD31" s="92"/>
      <c r="BE31" s="92"/>
      <c r="BF31" s="92"/>
      <c r="BG31" s="92"/>
      <c r="BH31" s="92"/>
      <c r="BI31" s="92"/>
      <c r="BJ31" s="92"/>
      <c r="BL31" s="92"/>
      <c r="BM31" s="92"/>
      <c r="BN31" s="92"/>
      <c r="BO31" s="92"/>
      <c r="BP31" s="92"/>
      <c r="BQ31" s="92"/>
      <c r="BR31" s="92"/>
      <c r="BS31" s="92"/>
      <c r="BU31" s="92"/>
      <c r="BV31" s="92"/>
      <c r="BW31" s="92"/>
      <c r="BX31" s="92"/>
      <c r="BY31" s="92"/>
      <c r="BZ31" s="92"/>
      <c r="CA31" s="92"/>
      <c r="CB31" s="92"/>
      <c r="CD31" s="92"/>
      <c r="CE31" s="92"/>
      <c r="CF31" s="92"/>
      <c r="CG31" s="92"/>
      <c r="CH31" s="92"/>
      <c r="CI31" s="92"/>
      <c r="CJ31" s="92"/>
      <c r="CK31" s="92"/>
      <c r="CM31" s="92"/>
      <c r="CN31" s="92"/>
      <c r="CO31" s="92"/>
      <c r="CP31" s="92"/>
      <c r="CQ31" s="92"/>
      <c r="CR31" s="92"/>
      <c r="CS31" s="92"/>
      <c r="CT31" s="92"/>
      <c r="CV31" s="92"/>
      <c r="CW31" s="92"/>
      <c r="CX31" s="92"/>
      <c r="CY31" s="92"/>
      <c r="CZ31" s="92"/>
      <c r="DA31" s="92"/>
      <c r="DB31" s="92"/>
      <c r="DC31" s="92"/>
      <c r="DE31" s="92"/>
      <c r="DF31" s="92"/>
      <c r="DG31" s="92"/>
      <c r="DH31" s="92"/>
      <c r="DI31" s="92"/>
      <c r="DJ31" s="92"/>
      <c r="DK31" s="92"/>
      <c r="DL31" s="92"/>
      <c r="DN31" s="92"/>
      <c r="DO31" s="92"/>
      <c r="DP31" s="92"/>
      <c r="DQ31" s="92"/>
      <c r="DR31" s="92"/>
      <c r="DS31" s="92"/>
      <c r="DT31" s="92"/>
      <c r="DU31" s="92"/>
      <c r="DW31" s="92"/>
      <c r="DX31" s="92"/>
      <c r="DY31" s="92"/>
      <c r="DZ31" s="92"/>
      <c r="EA31" s="92"/>
      <c r="EB31" s="92"/>
      <c r="EC31" s="92"/>
      <c r="ED31" s="92"/>
      <c r="EF31" s="92"/>
      <c r="EG31" s="92"/>
      <c r="EH31" s="92"/>
      <c r="EI31" s="92"/>
      <c r="EJ31" s="92"/>
      <c r="EK31" s="92"/>
      <c r="EL31" s="92"/>
      <c r="EM31" s="92"/>
      <c r="EO31" s="92"/>
      <c r="EP31" s="92"/>
      <c r="EQ31" s="92"/>
      <c r="ER31" s="92"/>
      <c r="ES31" s="92"/>
      <c r="ET31" s="92"/>
      <c r="EU31" s="92"/>
      <c r="EV31" s="92"/>
      <c r="EX31" s="92"/>
      <c r="EY31" s="92"/>
      <c r="EZ31" s="92"/>
      <c r="FA31" s="92"/>
      <c r="FB31" s="92"/>
      <c r="FC31" s="92"/>
      <c r="FD31" s="92"/>
      <c r="FE31" s="92"/>
      <c r="FG31" s="92"/>
      <c r="FH31" s="92"/>
      <c r="FI31" s="92"/>
      <c r="FJ31" s="92"/>
      <c r="FK31" s="92"/>
      <c r="FL31" s="92"/>
      <c r="FM31" s="92"/>
      <c r="FN31" s="92"/>
      <c r="FP31" s="92"/>
      <c r="FQ31" s="92"/>
      <c r="FR31" s="92"/>
      <c r="FS31" s="92"/>
      <c r="FT31" s="92"/>
      <c r="FU31" s="92"/>
      <c r="FV31" s="92"/>
      <c r="FW31" s="92"/>
      <c r="FY31" s="92"/>
      <c r="FZ31" s="92"/>
      <c r="GA31" s="92"/>
      <c r="GB31" s="92"/>
      <c r="GC31" s="92"/>
      <c r="GD31" s="92"/>
      <c r="GE31" s="92"/>
      <c r="GF31" s="92"/>
      <c r="GH31" s="92"/>
      <c r="GI31" s="92"/>
      <c r="GJ31" s="92"/>
      <c r="GK31" s="92"/>
      <c r="GL31" s="92"/>
      <c r="GM31" s="92"/>
      <c r="GN31" s="92"/>
      <c r="GO31" s="92"/>
      <c r="GQ31" s="92"/>
      <c r="GR31" s="92"/>
      <c r="GS31" s="92"/>
      <c r="GT31" s="92"/>
      <c r="GU31" s="92"/>
      <c r="GV31" s="92"/>
      <c r="GW31" s="92"/>
      <c r="GX31" s="92"/>
      <c r="GZ31" s="92"/>
      <c r="HA31" s="92"/>
      <c r="HB31" s="92"/>
      <c r="HC31" s="92"/>
      <c r="HD31" s="92"/>
      <c r="HE31" s="92"/>
      <c r="HF31" s="92"/>
      <c r="HG31" s="92"/>
      <c r="HI31" s="92"/>
      <c r="HJ31" s="92"/>
      <c r="HK31" s="92"/>
      <c r="HL31" s="92"/>
      <c r="HM31" s="92"/>
      <c r="HN31" s="92"/>
      <c r="HO31" s="92"/>
      <c r="HP31" s="92"/>
      <c r="HR31" s="92"/>
      <c r="HS31" s="92"/>
      <c r="HT31" s="92"/>
      <c r="HU31" s="92"/>
      <c r="HV31" s="92"/>
      <c r="HW31" s="92"/>
      <c r="HX31" s="92"/>
      <c r="HY31" s="92"/>
      <c r="IA31" s="92"/>
      <c r="IB31" s="92"/>
      <c r="IC31" s="92"/>
      <c r="ID31" s="92"/>
      <c r="IE31" s="92"/>
      <c r="IF31" s="92"/>
      <c r="IG31" s="92"/>
      <c r="IH31" s="92"/>
      <c r="IJ31" s="92"/>
      <c r="IK31" s="92"/>
      <c r="IL31" s="92"/>
      <c r="IM31" s="92"/>
      <c r="IN31" s="92"/>
      <c r="IO31" s="92"/>
      <c r="IP31" s="92"/>
      <c r="IQ31" s="92"/>
      <c r="IS31" s="92"/>
      <c r="IT31" s="92"/>
      <c r="IU31" s="92"/>
    </row>
    <row r="32" spans="2:10" ht="12.75">
      <c r="B32" s="117" t="s">
        <v>783</v>
      </c>
      <c r="C32" s="302">
        <f>Ликвидность!C7</f>
        <v>5433</v>
      </c>
      <c r="D32" s="302">
        <f>Ликвидность!H7</f>
        <v>786</v>
      </c>
      <c r="E32" s="302">
        <f>Ликвидность!C18</f>
        <v>11979</v>
      </c>
      <c r="F32" s="302">
        <f>Ликвидность!H18</f>
        <v>5898</v>
      </c>
      <c r="G32" s="302">
        <f>Ликвидность!C29</f>
        <v>9389</v>
      </c>
      <c r="H32" s="302">
        <f>Ликвидность!H29</f>
        <v>25000</v>
      </c>
      <c r="I32" s="302">
        <f>Ликвидность!D29</f>
        <v>13844</v>
      </c>
      <c r="J32" s="302">
        <f>Ликвидность!I29</f>
        <v>16327</v>
      </c>
    </row>
    <row r="33" spans="2:10" ht="12.75">
      <c r="B33" s="117" t="s">
        <v>784</v>
      </c>
      <c r="C33" s="302">
        <f>Ликвидность!C8</f>
        <v>43736</v>
      </c>
      <c r="D33" s="302">
        <f>Ликвидность!H8</f>
        <v>5320</v>
      </c>
      <c r="E33" s="302">
        <f>Ликвидность!C19</f>
        <v>56084</v>
      </c>
      <c r="F33" s="302">
        <f>Ликвидность!H19</f>
        <v>6578</v>
      </c>
      <c r="G33" s="302">
        <f>Ликвидность!C30</f>
        <v>71463</v>
      </c>
      <c r="H33" s="302">
        <f>Ликвидность!H30</f>
        <v>12846</v>
      </c>
      <c r="I33" s="302">
        <f>Ликвидность!D30</f>
        <v>87624</v>
      </c>
      <c r="J33" s="302">
        <f>Ликвидность!I30</f>
        <v>2525</v>
      </c>
    </row>
    <row r="34" spans="2:10" ht="12.75">
      <c r="B34" s="117" t="s">
        <v>785</v>
      </c>
      <c r="C34" s="302">
        <f>Ликвидность!C9</f>
        <v>74319</v>
      </c>
      <c r="D34" s="302">
        <f>Ликвидность!H9</f>
        <v>96151</v>
      </c>
      <c r="E34" s="302">
        <f>Ликвидность!C20</f>
        <v>78272</v>
      </c>
      <c r="F34" s="302">
        <f>Ликвидность!H20</f>
        <v>110433</v>
      </c>
      <c r="G34" s="302">
        <f>Ликвидность!C31</f>
        <v>51776</v>
      </c>
      <c r="H34" s="302">
        <f>Ликвидность!H31</f>
        <v>89189</v>
      </c>
      <c r="I34" s="302">
        <f>Ликвидность!D31</f>
        <v>53054</v>
      </c>
      <c r="J34" s="302">
        <f>Ликвидность!I31</f>
        <v>122566</v>
      </c>
    </row>
    <row r="35" spans="2:10" ht="12.75">
      <c r="B35" s="117" t="s">
        <v>781</v>
      </c>
      <c r="C35" s="302">
        <f aca="true" t="shared" si="0" ref="C35:H35">SUM(C31:C34)</f>
        <v>124052</v>
      </c>
      <c r="D35" s="302">
        <f t="shared" si="0"/>
        <v>124052</v>
      </c>
      <c r="E35" s="302">
        <f t="shared" si="0"/>
        <v>146535</v>
      </c>
      <c r="F35" s="302">
        <f t="shared" si="0"/>
        <v>146535</v>
      </c>
      <c r="G35" s="302">
        <f t="shared" si="0"/>
        <v>140873</v>
      </c>
      <c r="H35" s="302">
        <f t="shared" si="0"/>
        <v>140873</v>
      </c>
      <c r="I35" s="302">
        <f>SUM(I31:I34)</f>
        <v>155052</v>
      </c>
      <c r="J35" s="302">
        <f>SUM(J31:J34)</f>
        <v>155052</v>
      </c>
    </row>
    <row r="37" spans="3:255" ht="12.75">
      <c r="C37" s="92"/>
      <c r="D37" s="92"/>
      <c r="E37" s="92"/>
      <c r="F37" s="92"/>
      <c r="G37" s="92"/>
      <c r="H37" s="92"/>
      <c r="J37" s="92"/>
      <c r="K37" s="92"/>
      <c r="L37" s="92"/>
      <c r="M37" s="92"/>
      <c r="N37" s="92"/>
      <c r="O37" s="92"/>
      <c r="P37" s="92"/>
      <c r="Q37" s="92"/>
      <c r="S37" s="92"/>
      <c r="T37" s="92"/>
      <c r="U37" s="92"/>
      <c r="V37" s="92"/>
      <c r="W37" s="92"/>
      <c r="X37" s="92"/>
      <c r="Y37" s="92"/>
      <c r="Z37" s="92"/>
      <c r="AB37" s="92"/>
      <c r="AC37" s="92"/>
      <c r="AD37" s="92"/>
      <c r="AE37" s="92"/>
      <c r="AF37" s="92"/>
      <c r="AG37" s="92"/>
      <c r="AH37" s="92"/>
      <c r="AI37" s="92"/>
      <c r="AK37" s="92"/>
      <c r="AL37" s="92"/>
      <c r="AM37" s="92"/>
      <c r="AN37" s="92"/>
      <c r="AO37" s="92"/>
      <c r="AP37" s="92"/>
      <c r="AQ37" s="92"/>
      <c r="AR37" s="92"/>
      <c r="AT37" s="92"/>
      <c r="AU37" s="92"/>
      <c r="AV37" s="92"/>
      <c r="AW37" s="92"/>
      <c r="AX37" s="92"/>
      <c r="AY37" s="92"/>
      <c r="AZ37" s="92"/>
      <c r="BA37" s="92"/>
      <c r="BC37" s="92"/>
      <c r="BD37" s="92"/>
      <c r="BE37" s="92"/>
      <c r="BF37" s="92"/>
      <c r="BG37" s="92"/>
      <c r="BH37" s="92"/>
      <c r="BI37" s="92"/>
      <c r="BJ37" s="92"/>
      <c r="BL37" s="92"/>
      <c r="BM37" s="92"/>
      <c r="BN37" s="92"/>
      <c r="BO37" s="92"/>
      <c r="BP37" s="92"/>
      <c r="BQ37" s="92"/>
      <c r="BR37" s="92"/>
      <c r="BS37" s="92"/>
      <c r="BU37" s="92"/>
      <c r="BV37" s="92"/>
      <c r="BW37" s="92"/>
      <c r="BX37" s="92"/>
      <c r="BY37" s="92"/>
      <c r="BZ37" s="92"/>
      <c r="CA37" s="92"/>
      <c r="CB37" s="92"/>
      <c r="CD37" s="92"/>
      <c r="CE37" s="92"/>
      <c r="CF37" s="92"/>
      <c r="CG37" s="92"/>
      <c r="CH37" s="92"/>
      <c r="CI37" s="92"/>
      <c r="CJ37" s="92"/>
      <c r="CK37" s="92"/>
      <c r="CM37" s="92"/>
      <c r="CN37" s="92"/>
      <c r="CO37" s="92"/>
      <c r="CP37" s="92"/>
      <c r="CQ37" s="92"/>
      <c r="CR37" s="92"/>
      <c r="CS37" s="92"/>
      <c r="CT37" s="92"/>
      <c r="CV37" s="92"/>
      <c r="CW37" s="92"/>
      <c r="CX37" s="92"/>
      <c r="CY37" s="92"/>
      <c r="CZ37" s="92"/>
      <c r="DA37" s="92"/>
      <c r="DB37" s="92"/>
      <c r="DC37" s="92"/>
      <c r="DE37" s="92"/>
      <c r="DF37" s="92"/>
      <c r="DG37" s="92"/>
      <c r="DH37" s="92"/>
      <c r="DI37" s="92"/>
      <c r="DJ37" s="92"/>
      <c r="DK37" s="92"/>
      <c r="DL37" s="92"/>
      <c r="DN37" s="92"/>
      <c r="DO37" s="92"/>
      <c r="DP37" s="92"/>
      <c r="DQ37" s="92"/>
      <c r="DR37" s="92"/>
      <c r="DS37" s="92"/>
      <c r="DT37" s="92"/>
      <c r="DU37" s="92"/>
      <c r="DW37" s="92"/>
      <c r="DX37" s="92"/>
      <c r="DY37" s="92"/>
      <c r="DZ37" s="92"/>
      <c r="EA37" s="92"/>
      <c r="EB37" s="92"/>
      <c r="EC37" s="92"/>
      <c r="ED37" s="92"/>
      <c r="EF37" s="92"/>
      <c r="EG37" s="92"/>
      <c r="EH37" s="92"/>
      <c r="EI37" s="92"/>
      <c r="EJ37" s="92"/>
      <c r="EK37" s="92"/>
      <c r="EL37" s="92"/>
      <c r="EM37" s="92"/>
      <c r="EO37" s="92"/>
      <c r="EP37" s="92"/>
      <c r="EQ37" s="92"/>
      <c r="ER37" s="92"/>
      <c r="ES37" s="92"/>
      <c r="ET37" s="92"/>
      <c r="EU37" s="92"/>
      <c r="EV37" s="92"/>
      <c r="EX37" s="92"/>
      <c r="EY37" s="92"/>
      <c r="EZ37" s="92"/>
      <c r="FA37" s="92"/>
      <c r="FB37" s="92"/>
      <c r="FC37" s="92"/>
      <c r="FD37" s="92"/>
      <c r="FE37" s="92"/>
      <c r="FG37" s="92"/>
      <c r="FH37" s="92"/>
      <c r="FI37" s="92"/>
      <c r="FJ37" s="92"/>
      <c r="FK37" s="92"/>
      <c r="FL37" s="92"/>
      <c r="FM37" s="92"/>
      <c r="FN37" s="92"/>
      <c r="FP37" s="92"/>
      <c r="FQ37" s="92"/>
      <c r="FR37" s="92"/>
      <c r="FS37" s="92"/>
      <c r="FT37" s="92"/>
      <c r="FU37" s="92"/>
      <c r="FV37" s="92"/>
      <c r="FW37" s="92"/>
      <c r="FY37" s="92"/>
      <c r="FZ37" s="92"/>
      <c r="GA37" s="92"/>
      <c r="GB37" s="92"/>
      <c r="GC37" s="92"/>
      <c r="GD37" s="92"/>
      <c r="GE37" s="92"/>
      <c r="GF37" s="92"/>
      <c r="GH37" s="92"/>
      <c r="GI37" s="92"/>
      <c r="GJ37" s="92"/>
      <c r="GK37" s="92"/>
      <c r="GL37" s="92"/>
      <c r="GM37" s="92"/>
      <c r="GN37" s="92"/>
      <c r="GO37" s="92"/>
      <c r="GQ37" s="92"/>
      <c r="GR37" s="92"/>
      <c r="GS37" s="92"/>
      <c r="GT37" s="92"/>
      <c r="GU37" s="92"/>
      <c r="GV37" s="92"/>
      <c r="GW37" s="92"/>
      <c r="GX37" s="92"/>
      <c r="GZ37" s="92"/>
      <c r="HA37" s="92"/>
      <c r="HB37" s="92"/>
      <c r="HC37" s="92"/>
      <c r="HD37" s="92"/>
      <c r="HE37" s="92"/>
      <c r="HF37" s="92"/>
      <c r="HG37" s="92"/>
      <c r="HI37" s="92"/>
      <c r="HJ37" s="92"/>
      <c r="HK37" s="92"/>
      <c r="HL37" s="92"/>
      <c r="HM37" s="92"/>
      <c r="HN37" s="92"/>
      <c r="HO37" s="92"/>
      <c r="HP37" s="92"/>
      <c r="HR37" s="92"/>
      <c r="HS37" s="92"/>
      <c r="HT37" s="92"/>
      <c r="HU37" s="92"/>
      <c r="HV37" s="92"/>
      <c r="HW37" s="92"/>
      <c r="HX37" s="92"/>
      <c r="HY37" s="92"/>
      <c r="IA37" s="92"/>
      <c r="IB37" s="92"/>
      <c r="IC37" s="92"/>
      <c r="ID37" s="92"/>
      <c r="IE37" s="92"/>
      <c r="IF37" s="92"/>
      <c r="IG37" s="92"/>
      <c r="IH37" s="92"/>
      <c r="IJ37" s="92"/>
      <c r="IK37" s="92"/>
      <c r="IL37" s="92"/>
      <c r="IM37" s="92"/>
      <c r="IN37" s="92"/>
      <c r="IO37" s="92"/>
      <c r="IP37" s="92"/>
      <c r="IQ37" s="92"/>
      <c r="IS37" s="92"/>
      <c r="IT37" s="92"/>
      <c r="IU37" s="92"/>
    </row>
    <row r="43" spans="3:255" ht="12.75">
      <c r="C43" s="92"/>
      <c r="D43" s="92"/>
      <c r="E43" s="92"/>
      <c r="F43" s="92"/>
      <c r="G43" s="92"/>
      <c r="H43" s="92"/>
      <c r="J43" s="92"/>
      <c r="K43" s="92"/>
      <c r="L43" s="92"/>
      <c r="M43" s="92"/>
      <c r="N43" s="92"/>
      <c r="O43" s="92"/>
      <c r="P43" s="92"/>
      <c r="Q43" s="92"/>
      <c r="S43" s="92"/>
      <c r="T43" s="92"/>
      <c r="U43" s="92"/>
      <c r="V43" s="92"/>
      <c r="W43" s="92"/>
      <c r="X43" s="92"/>
      <c r="Y43" s="92"/>
      <c r="Z43" s="92"/>
      <c r="AB43" s="92"/>
      <c r="AC43" s="92"/>
      <c r="AD43" s="92"/>
      <c r="AE43" s="92"/>
      <c r="AF43" s="92"/>
      <c r="AG43" s="92"/>
      <c r="AH43" s="92"/>
      <c r="AI43" s="92"/>
      <c r="AK43" s="92"/>
      <c r="AL43" s="92"/>
      <c r="AM43" s="92"/>
      <c r="AN43" s="92"/>
      <c r="AO43" s="92"/>
      <c r="AP43" s="92"/>
      <c r="AQ43" s="92"/>
      <c r="AR43" s="92"/>
      <c r="AT43" s="92"/>
      <c r="AU43" s="92"/>
      <c r="AV43" s="92"/>
      <c r="AW43" s="92"/>
      <c r="AX43" s="92"/>
      <c r="AY43" s="92"/>
      <c r="AZ43" s="92"/>
      <c r="BA43" s="92"/>
      <c r="BC43" s="92"/>
      <c r="BD43" s="92"/>
      <c r="BE43" s="92"/>
      <c r="BF43" s="92"/>
      <c r="BG43" s="92"/>
      <c r="BH43" s="92"/>
      <c r="BI43" s="92"/>
      <c r="BJ43" s="92"/>
      <c r="BL43" s="92"/>
      <c r="BM43" s="92"/>
      <c r="BN43" s="92"/>
      <c r="BO43" s="92"/>
      <c r="BP43" s="92"/>
      <c r="BQ43" s="92"/>
      <c r="BR43" s="92"/>
      <c r="BS43" s="92"/>
      <c r="BU43" s="92"/>
      <c r="BV43" s="92"/>
      <c r="BW43" s="92"/>
      <c r="BX43" s="92"/>
      <c r="BY43" s="92"/>
      <c r="BZ43" s="92"/>
      <c r="CA43" s="92"/>
      <c r="CB43" s="92"/>
      <c r="CD43" s="92"/>
      <c r="CE43" s="92"/>
      <c r="CF43" s="92"/>
      <c r="CG43" s="92"/>
      <c r="CH43" s="92"/>
      <c r="CI43" s="92"/>
      <c r="CJ43" s="92"/>
      <c r="CK43" s="92"/>
      <c r="CM43" s="92"/>
      <c r="CN43" s="92"/>
      <c r="CO43" s="92"/>
      <c r="CP43" s="92"/>
      <c r="CQ43" s="92"/>
      <c r="CR43" s="92"/>
      <c r="CS43" s="92"/>
      <c r="CT43" s="92"/>
      <c r="CV43" s="92"/>
      <c r="CW43" s="92"/>
      <c r="CX43" s="92"/>
      <c r="CY43" s="92"/>
      <c r="CZ43" s="92"/>
      <c r="DA43" s="92"/>
      <c r="DB43" s="92"/>
      <c r="DC43" s="92"/>
      <c r="DE43" s="92"/>
      <c r="DF43" s="92"/>
      <c r="DG43" s="92"/>
      <c r="DH43" s="92"/>
      <c r="DI43" s="92"/>
      <c r="DJ43" s="92"/>
      <c r="DK43" s="92"/>
      <c r="DL43" s="92"/>
      <c r="DN43" s="92"/>
      <c r="DO43" s="92"/>
      <c r="DP43" s="92"/>
      <c r="DQ43" s="92"/>
      <c r="DR43" s="92"/>
      <c r="DS43" s="92"/>
      <c r="DT43" s="92"/>
      <c r="DU43" s="92"/>
      <c r="DW43" s="92"/>
      <c r="DX43" s="92"/>
      <c r="DY43" s="92"/>
      <c r="DZ43" s="92"/>
      <c r="EA43" s="92"/>
      <c r="EB43" s="92"/>
      <c r="EC43" s="92"/>
      <c r="ED43" s="92"/>
      <c r="EF43" s="92"/>
      <c r="EG43" s="92"/>
      <c r="EH43" s="92"/>
      <c r="EI43" s="92"/>
      <c r="EJ43" s="92"/>
      <c r="EK43" s="92"/>
      <c r="EL43" s="92"/>
      <c r="EM43" s="92"/>
      <c r="EO43" s="92"/>
      <c r="EP43" s="92"/>
      <c r="EQ43" s="92"/>
      <c r="ER43" s="92"/>
      <c r="ES43" s="92"/>
      <c r="ET43" s="92"/>
      <c r="EU43" s="92"/>
      <c r="EV43" s="92"/>
      <c r="EX43" s="92"/>
      <c r="EY43" s="92"/>
      <c r="EZ43" s="92"/>
      <c r="FA43" s="92"/>
      <c r="FB43" s="92"/>
      <c r="FC43" s="92"/>
      <c r="FD43" s="92"/>
      <c r="FE43" s="92"/>
      <c r="FG43" s="92"/>
      <c r="FH43" s="92"/>
      <c r="FI43" s="92"/>
      <c r="FJ43" s="92"/>
      <c r="FK43" s="92"/>
      <c r="FL43" s="92"/>
      <c r="FM43" s="92"/>
      <c r="FN43" s="92"/>
      <c r="FP43" s="92"/>
      <c r="FQ43" s="92"/>
      <c r="FR43" s="92"/>
      <c r="FS43" s="92"/>
      <c r="FT43" s="92"/>
      <c r="FU43" s="92"/>
      <c r="FV43" s="92"/>
      <c r="FW43" s="92"/>
      <c r="FY43" s="92"/>
      <c r="FZ43" s="92"/>
      <c r="GA43" s="92"/>
      <c r="GB43" s="92"/>
      <c r="GC43" s="92"/>
      <c r="GD43" s="92"/>
      <c r="GE43" s="92"/>
      <c r="GF43" s="92"/>
      <c r="GH43" s="92"/>
      <c r="GI43" s="92"/>
      <c r="GJ43" s="92"/>
      <c r="GK43" s="92"/>
      <c r="GL43" s="92"/>
      <c r="GM43" s="92"/>
      <c r="GN43" s="92"/>
      <c r="GO43" s="92"/>
      <c r="GQ43" s="92"/>
      <c r="GR43" s="92"/>
      <c r="GS43" s="92"/>
      <c r="GT43" s="92"/>
      <c r="GU43" s="92"/>
      <c r="GV43" s="92"/>
      <c r="GW43" s="92"/>
      <c r="GX43" s="92"/>
      <c r="GZ43" s="92"/>
      <c r="HA43" s="92"/>
      <c r="HB43" s="92"/>
      <c r="HC43" s="92"/>
      <c r="HD43" s="92"/>
      <c r="HE43" s="92"/>
      <c r="HF43" s="92"/>
      <c r="HG43" s="92"/>
      <c r="HI43" s="92"/>
      <c r="HJ43" s="92"/>
      <c r="HK43" s="92"/>
      <c r="HL43" s="92"/>
      <c r="HM43" s="92"/>
      <c r="HN43" s="92"/>
      <c r="HO43" s="92"/>
      <c r="HP43" s="92"/>
      <c r="HR43" s="92"/>
      <c r="HS43" s="92"/>
      <c r="HT43" s="92"/>
      <c r="HU43" s="92"/>
      <c r="HV43" s="92"/>
      <c r="HW43" s="92"/>
      <c r="HX43" s="92"/>
      <c r="HY43" s="92"/>
      <c r="IA43" s="92"/>
      <c r="IB43" s="92"/>
      <c r="IC43" s="92"/>
      <c r="ID43" s="92"/>
      <c r="IE43" s="92"/>
      <c r="IF43" s="92"/>
      <c r="IG43" s="92"/>
      <c r="IH43" s="92"/>
      <c r="IJ43" s="92"/>
      <c r="IK43" s="92"/>
      <c r="IL43" s="92"/>
      <c r="IM43" s="92"/>
      <c r="IN43" s="92"/>
      <c r="IO43" s="92"/>
      <c r="IP43" s="92"/>
      <c r="IQ43" s="92"/>
      <c r="IS43" s="92"/>
      <c r="IT43" s="92"/>
      <c r="IU43" s="92"/>
    </row>
    <row r="49" spans="3:255" ht="12.75">
      <c r="C49" s="92"/>
      <c r="D49" s="92"/>
      <c r="E49" s="92"/>
      <c r="F49" s="92"/>
      <c r="G49" s="92"/>
      <c r="H49" s="92"/>
      <c r="J49" s="92"/>
      <c r="K49" s="92"/>
      <c r="L49" s="92"/>
      <c r="M49" s="92"/>
      <c r="N49" s="92"/>
      <c r="O49" s="92"/>
      <c r="P49" s="92"/>
      <c r="Q49" s="92"/>
      <c r="S49" s="92"/>
      <c r="T49" s="92"/>
      <c r="U49" s="92"/>
      <c r="V49" s="92"/>
      <c r="W49" s="92"/>
      <c r="X49" s="92"/>
      <c r="Y49" s="92"/>
      <c r="Z49" s="92"/>
      <c r="AB49" s="92"/>
      <c r="AC49" s="92"/>
      <c r="AD49" s="92"/>
      <c r="AE49" s="92"/>
      <c r="AF49" s="92"/>
      <c r="AG49" s="92"/>
      <c r="AH49" s="92"/>
      <c r="AI49" s="92"/>
      <c r="AK49" s="92"/>
      <c r="AL49" s="92"/>
      <c r="AM49" s="92"/>
      <c r="AN49" s="92"/>
      <c r="AO49" s="92"/>
      <c r="AP49" s="92"/>
      <c r="AQ49" s="92"/>
      <c r="AR49" s="92"/>
      <c r="AT49" s="92"/>
      <c r="AU49" s="92"/>
      <c r="AV49" s="92"/>
      <c r="AW49" s="92"/>
      <c r="AX49" s="92"/>
      <c r="AY49" s="92"/>
      <c r="AZ49" s="92"/>
      <c r="BA49" s="92"/>
      <c r="BC49" s="92"/>
      <c r="BD49" s="92"/>
      <c r="BE49" s="92"/>
      <c r="BF49" s="92"/>
      <c r="BG49" s="92"/>
      <c r="BH49" s="92"/>
      <c r="BI49" s="92"/>
      <c r="BJ49" s="92"/>
      <c r="BL49" s="92"/>
      <c r="BM49" s="92"/>
      <c r="BN49" s="92"/>
      <c r="BO49" s="92"/>
      <c r="BP49" s="92"/>
      <c r="BQ49" s="92"/>
      <c r="BR49" s="92"/>
      <c r="BS49" s="92"/>
      <c r="BU49" s="92"/>
      <c r="BV49" s="92"/>
      <c r="BW49" s="92"/>
      <c r="BX49" s="92"/>
      <c r="BY49" s="92"/>
      <c r="BZ49" s="92"/>
      <c r="CA49" s="92"/>
      <c r="CB49" s="92"/>
      <c r="CD49" s="92"/>
      <c r="CE49" s="92"/>
      <c r="CF49" s="92"/>
      <c r="CG49" s="92"/>
      <c r="CH49" s="92"/>
      <c r="CI49" s="92"/>
      <c r="CJ49" s="92"/>
      <c r="CK49" s="92"/>
      <c r="CM49" s="92"/>
      <c r="CN49" s="92"/>
      <c r="CO49" s="92"/>
      <c r="CP49" s="92"/>
      <c r="CQ49" s="92"/>
      <c r="CR49" s="92"/>
      <c r="CS49" s="92"/>
      <c r="CT49" s="92"/>
      <c r="CV49" s="92"/>
      <c r="CW49" s="92"/>
      <c r="CX49" s="92"/>
      <c r="CY49" s="92"/>
      <c r="CZ49" s="92"/>
      <c r="DA49" s="92"/>
      <c r="DB49" s="92"/>
      <c r="DC49" s="92"/>
      <c r="DE49" s="92"/>
      <c r="DF49" s="92"/>
      <c r="DG49" s="92"/>
      <c r="DH49" s="92"/>
      <c r="DI49" s="92"/>
      <c r="DJ49" s="92"/>
      <c r="DK49" s="92"/>
      <c r="DL49" s="92"/>
      <c r="DN49" s="92"/>
      <c r="DO49" s="92"/>
      <c r="DP49" s="92"/>
      <c r="DQ49" s="92"/>
      <c r="DR49" s="92"/>
      <c r="DS49" s="92"/>
      <c r="DT49" s="92"/>
      <c r="DU49" s="92"/>
      <c r="DW49" s="92"/>
      <c r="DX49" s="92"/>
      <c r="DY49" s="92"/>
      <c r="DZ49" s="92"/>
      <c r="EA49" s="92"/>
      <c r="EB49" s="92"/>
      <c r="EC49" s="92"/>
      <c r="ED49" s="92"/>
      <c r="EF49" s="92"/>
      <c r="EG49" s="92"/>
      <c r="EH49" s="92"/>
      <c r="EI49" s="92"/>
      <c r="EJ49" s="92"/>
      <c r="EK49" s="92"/>
      <c r="EL49" s="92"/>
      <c r="EM49" s="92"/>
      <c r="EO49" s="92"/>
      <c r="EP49" s="92"/>
      <c r="EQ49" s="92"/>
      <c r="ER49" s="92"/>
      <c r="ES49" s="92"/>
      <c r="ET49" s="92"/>
      <c r="EU49" s="92"/>
      <c r="EV49" s="92"/>
      <c r="EX49" s="92"/>
      <c r="EY49" s="92"/>
      <c r="EZ49" s="92"/>
      <c r="FA49" s="92"/>
      <c r="FB49" s="92"/>
      <c r="FC49" s="92"/>
      <c r="FD49" s="92"/>
      <c r="FE49" s="92"/>
      <c r="FG49" s="92"/>
      <c r="FH49" s="92"/>
      <c r="FI49" s="92"/>
      <c r="FJ49" s="92"/>
      <c r="FK49" s="92"/>
      <c r="FL49" s="92"/>
      <c r="FM49" s="92"/>
      <c r="FN49" s="92"/>
      <c r="FP49" s="92"/>
      <c r="FQ49" s="92"/>
      <c r="FR49" s="92"/>
      <c r="FS49" s="92"/>
      <c r="FT49" s="92"/>
      <c r="FU49" s="92"/>
      <c r="FV49" s="92"/>
      <c r="FW49" s="92"/>
      <c r="FY49" s="92"/>
      <c r="FZ49" s="92"/>
      <c r="GA49" s="92"/>
      <c r="GB49" s="92"/>
      <c r="GC49" s="92"/>
      <c r="GD49" s="92"/>
      <c r="GE49" s="92"/>
      <c r="GF49" s="92"/>
      <c r="GH49" s="92"/>
      <c r="GI49" s="92"/>
      <c r="GJ49" s="92"/>
      <c r="GK49" s="92"/>
      <c r="GL49" s="92"/>
      <c r="GM49" s="92"/>
      <c r="GN49" s="92"/>
      <c r="GO49" s="92"/>
      <c r="GQ49" s="92"/>
      <c r="GR49" s="92"/>
      <c r="GS49" s="92"/>
      <c r="GT49" s="92"/>
      <c r="GU49" s="92"/>
      <c r="GV49" s="92"/>
      <c r="GW49" s="92"/>
      <c r="GX49" s="92"/>
      <c r="GZ49" s="92"/>
      <c r="HA49" s="92"/>
      <c r="HB49" s="92"/>
      <c r="HC49" s="92"/>
      <c r="HD49" s="92"/>
      <c r="HE49" s="92"/>
      <c r="HF49" s="92"/>
      <c r="HG49" s="92"/>
      <c r="HI49" s="92"/>
      <c r="HJ49" s="92"/>
      <c r="HK49" s="92"/>
      <c r="HL49" s="92"/>
      <c r="HM49" s="92"/>
      <c r="HN49" s="92"/>
      <c r="HO49" s="92"/>
      <c r="HP49" s="92"/>
      <c r="HR49" s="92"/>
      <c r="HS49" s="92"/>
      <c r="HT49" s="92"/>
      <c r="HU49" s="92"/>
      <c r="HV49" s="92"/>
      <c r="HW49" s="92"/>
      <c r="HX49" s="92"/>
      <c r="HY49" s="92"/>
      <c r="IA49" s="92"/>
      <c r="IB49" s="92"/>
      <c r="IC49" s="92"/>
      <c r="ID49" s="92"/>
      <c r="IE49" s="92"/>
      <c r="IF49" s="92"/>
      <c r="IG49" s="92"/>
      <c r="IH49" s="92"/>
      <c r="IJ49" s="92"/>
      <c r="IK49" s="92"/>
      <c r="IL49" s="92"/>
      <c r="IM49" s="92"/>
      <c r="IN49" s="92"/>
      <c r="IO49" s="92"/>
      <c r="IP49" s="92"/>
      <c r="IQ49" s="92"/>
      <c r="IS49" s="92"/>
      <c r="IT49" s="92"/>
      <c r="IU49" s="92"/>
    </row>
  </sheetData>
  <sheetProtection/>
  <printOptions/>
  <pageMargins left="0.75" right="0.75" top="1" bottom="1" header="0.5" footer="0.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2:H203"/>
  <sheetViews>
    <sheetView zoomScalePageLayoutView="0" workbookViewId="0" topLeftCell="A40">
      <selection activeCell="B2" sqref="B2"/>
    </sheetView>
  </sheetViews>
  <sheetFormatPr defaultColWidth="9.00390625" defaultRowHeight="12.75"/>
  <cols>
    <col min="1" max="1" width="1.625" style="0" customWidth="1"/>
    <col min="3" max="3" width="26.25390625" style="0" customWidth="1"/>
    <col min="4" max="4" width="8.00390625" style="0" customWidth="1"/>
    <col min="5" max="5" width="13.00390625" style="0" customWidth="1"/>
    <col min="6" max="6" width="10.125" style="0" customWidth="1"/>
    <col min="7" max="7" width="10.00390625" style="0" customWidth="1"/>
    <col min="8" max="8" width="10.125" style="0" customWidth="1"/>
  </cols>
  <sheetData>
    <row r="2" spans="2:7" ht="12.75">
      <c r="B2" s="3" t="s">
        <v>9</v>
      </c>
      <c r="C2" s="1"/>
      <c r="D2" s="1"/>
      <c r="E2" s="1"/>
      <c r="F2" s="1"/>
      <c r="G2" s="1"/>
    </row>
    <row r="3" spans="2:7" ht="12.75">
      <c r="B3" s="1"/>
      <c r="C3" s="1"/>
      <c r="D3" s="1"/>
      <c r="E3" s="1"/>
      <c r="F3" s="1"/>
      <c r="G3" s="1"/>
    </row>
    <row r="4" spans="2:8" ht="18.75" customHeight="1">
      <c r="B4" s="645" t="s">
        <v>318</v>
      </c>
      <c r="C4" s="646"/>
      <c r="D4" s="647"/>
      <c r="E4" s="267">
        <v>37257</v>
      </c>
      <c r="F4" s="267">
        <v>37622</v>
      </c>
      <c r="G4" s="45">
        <v>37987</v>
      </c>
      <c r="H4" s="268">
        <v>38353</v>
      </c>
    </row>
    <row r="5" spans="2:8" ht="15" customHeight="1">
      <c r="B5" s="639" t="s">
        <v>391</v>
      </c>
      <c r="C5" s="642"/>
      <c r="D5" s="640"/>
      <c r="E5" s="303">
        <f>АналитБал!B18</f>
        <v>96151</v>
      </c>
      <c r="F5" s="303">
        <f>АналитБал!C18</f>
        <v>110433</v>
      </c>
      <c r="G5" s="303">
        <f>АналитБал!D18</f>
        <v>89189</v>
      </c>
      <c r="H5" s="303">
        <f>АналитБал!E18</f>
        <v>122566</v>
      </c>
    </row>
    <row r="6" spans="2:8" ht="13.5" customHeight="1">
      <c r="B6" s="639" t="s">
        <v>1026</v>
      </c>
      <c r="C6" s="642"/>
      <c r="D6" s="640"/>
      <c r="E6" s="303">
        <f>АналитБал!B5</f>
        <v>74319</v>
      </c>
      <c r="F6" s="303">
        <f>АналитБал!C5</f>
        <v>78272</v>
      </c>
      <c r="G6" s="303">
        <f>АналитБал!D5</f>
        <v>51776</v>
      </c>
      <c r="H6" s="303">
        <f>АналитБал!E5</f>
        <v>53054</v>
      </c>
    </row>
    <row r="7" spans="2:8" ht="13.5" customHeight="1">
      <c r="B7" s="639" t="s">
        <v>1027</v>
      </c>
      <c r="C7" s="648"/>
      <c r="D7" s="649"/>
      <c r="E7" s="303">
        <f>АналитБал!B11</f>
        <v>49733</v>
      </c>
      <c r="F7" s="303">
        <f>АналитБал!C11</f>
        <v>68263</v>
      </c>
      <c r="G7" s="303">
        <f>АналитБал!D11</f>
        <v>89097</v>
      </c>
      <c r="H7" s="303">
        <f>АналитБал!E11</f>
        <v>101998</v>
      </c>
    </row>
    <row r="8" spans="2:8" ht="12.75">
      <c r="B8" s="639" t="s">
        <v>732</v>
      </c>
      <c r="C8" s="642"/>
      <c r="D8" s="640"/>
      <c r="E8" s="303">
        <f>E5-E6</f>
        <v>21832</v>
      </c>
      <c r="F8" s="303">
        <f>F5-F6</f>
        <v>32161</v>
      </c>
      <c r="G8" s="303">
        <f>G5-G6</f>
        <v>37413</v>
      </c>
      <c r="H8" s="303">
        <f>H5-H6</f>
        <v>69512</v>
      </c>
    </row>
    <row r="9" spans="2:8" ht="12.75">
      <c r="B9" s="639" t="s">
        <v>733</v>
      </c>
      <c r="C9" s="642"/>
      <c r="D9" s="640"/>
      <c r="E9" s="303">
        <f>АналитБал!B19</f>
        <v>5320</v>
      </c>
      <c r="F9" s="303">
        <f>АналитБал!C19</f>
        <v>6578</v>
      </c>
      <c r="G9" s="303">
        <f>АналитБал!D19</f>
        <v>12846</v>
      </c>
      <c r="H9" s="303">
        <f>АналитБал!E19</f>
        <v>2525</v>
      </c>
    </row>
    <row r="10" spans="2:8" ht="23.25" customHeight="1">
      <c r="B10" s="643" t="s">
        <v>734</v>
      </c>
      <c r="C10" s="644"/>
      <c r="D10" s="644"/>
      <c r="E10" s="304">
        <f>E8+E9</f>
        <v>27152</v>
      </c>
      <c r="F10" s="304">
        <f>F8+F9</f>
        <v>38739</v>
      </c>
      <c r="G10" s="304">
        <f>G8+G9</f>
        <v>50259</v>
      </c>
      <c r="H10" s="304">
        <f>H8+H9</f>
        <v>72037</v>
      </c>
    </row>
    <row r="11" spans="2:8" ht="12.75" customHeight="1">
      <c r="B11" s="643" t="s">
        <v>735</v>
      </c>
      <c r="C11" s="643"/>
      <c r="D11" s="643"/>
      <c r="E11" s="304">
        <f>АналитБал!B20</f>
        <v>786</v>
      </c>
      <c r="F11" s="304">
        <f>АналитБал!C20</f>
        <v>5898</v>
      </c>
      <c r="G11" s="304">
        <f>АналитБал!D20</f>
        <v>25000</v>
      </c>
      <c r="H11" s="304">
        <f>АналитБал!E20</f>
        <v>16327</v>
      </c>
    </row>
    <row r="12" spans="2:8" ht="24" customHeight="1">
      <c r="B12" s="643" t="s">
        <v>736</v>
      </c>
      <c r="C12" s="643"/>
      <c r="D12" s="643"/>
      <c r="E12" s="304">
        <f>E10+E11</f>
        <v>27938</v>
      </c>
      <c r="F12" s="304">
        <f>F10+F11</f>
        <v>44637</v>
      </c>
      <c r="G12" s="304">
        <f>G10+G11</f>
        <v>75259</v>
      </c>
      <c r="H12" s="304">
        <f>H10+H11</f>
        <v>88364</v>
      </c>
    </row>
    <row r="13" spans="2:8" ht="13.5" customHeight="1">
      <c r="B13" s="643" t="s">
        <v>740</v>
      </c>
      <c r="C13" s="643"/>
      <c r="D13" s="643"/>
      <c r="E13" s="304">
        <f>АналитБал!B12</f>
        <v>43736</v>
      </c>
      <c r="F13" s="304">
        <f>АналитБал!C12</f>
        <v>56084</v>
      </c>
      <c r="G13" s="304">
        <f>АналитБал!D12</f>
        <v>71463</v>
      </c>
      <c r="H13" s="304">
        <f>АналитБал!E12</f>
        <v>87624</v>
      </c>
    </row>
    <row r="14" spans="2:8" ht="21.75" customHeight="1">
      <c r="B14" s="643" t="s">
        <v>741</v>
      </c>
      <c r="C14" s="643"/>
      <c r="D14" s="643"/>
      <c r="E14" s="303">
        <f>E8-E13</f>
        <v>-21904</v>
      </c>
      <c r="F14" s="304">
        <f>F8-F13</f>
        <v>-23923</v>
      </c>
      <c r="G14" s="304">
        <f>G8-G13</f>
        <v>-34050</v>
      </c>
      <c r="H14" s="304">
        <f>H8-H13</f>
        <v>-18112</v>
      </c>
    </row>
    <row r="15" spans="2:8" ht="12.75" customHeight="1" hidden="1">
      <c r="B15" s="643" t="s">
        <v>766</v>
      </c>
      <c r="C15" s="643"/>
      <c r="D15" s="643"/>
      <c r="E15" s="641">
        <f>E10-E13</f>
        <v>-16584</v>
      </c>
      <c r="F15" s="641">
        <f>F10-F13</f>
        <v>-17345</v>
      </c>
      <c r="G15" s="641">
        <f>G10-G13</f>
        <v>-21204</v>
      </c>
      <c r="H15" s="641">
        <f>H10-H13</f>
        <v>-15587</v>
      </c>
    </row>
    <row r="16" spans="2:8" ht="21" customHeight="1">
      <c r="B16" s="643"/>
      <c r="C16" s="643"/>
      <c r="D16" s="643"/>
      <c r="E16" s="641"/>
      <c r="F16" s="641"/>
      <c r="G16" s="641"/>
      <c r="H16" s="641"/>
    </row>
    <row r="17" spans="2:8" ht="21" customHeight="1">
      <c r="B17" s="643" t="s">
        <v>767</v>
      </c>
      <c r="C17" s="643"/>
      <c r="D17" s="643"/>
      <c r="E17" s="304">
        <f>E12-E13</f>
        <v>-15798</v>
      </c>
      <c r="F17" s="304">
        <f>F12-F13</f>
        <v>-11447</v>
      </c>
      <c r="G17" s="304">
        <f>G12-G13</f>
        <v>3796</v>
      </c>
      <c r="H17" s="304">
        <f>H12-H13</f>
        <v>740</v>
      </c>
    </row>
    <row r="18" spans="2:8" ht="12.75">
      <c r="B18" s="643" t="s">
        <v>768</v>
      </c>
      <c r="C18" s="643"/>
      <c r="D18" s="643"/>
      <c r="E18" s="304"/>
      <c r="F18" s="304"/>
      <c r="G18" s="304"/>
      <c r="H18" s="305"/>
    </row>
    <row r="19" spans="2:8" ht="12" customHeight="1">
      <c r="B19" s="643" t="s">
        <v>769</v>
      </c>
      <c r="C19" s="643"/>
      <c r="D19" s="643"/>
      <c r="E19" s="641">
        <f>E8/E5</f>
        <v>0.22705952096182047</v>
      </c>
      <c r="F19" s="641">
        <f>F8/F5</f>
        <v>0.29122635444115436</v>
      </c>
      <c r="G19" s="641">
        <f>G8/G5</f>
        <v>0.4194799807151106</v>
      </c>
      <c r="H19" s="305">
        <f>H8/H5</f>
        <v>0.5671393371734412</v>
      </c>
    </row>
    <row r="20" spans="2:8" ht="0.75" customHeight="1" hidden="1">
      <c r="B20" s="643"/>
      <c r="C20" s="643"/>
      <c r="D20" s="643"/>
      <c r="E20" s="641"/>
      <c r="F20" s="641"/>
      <c r="G20" s="641"/>
      <c r="H20" s="305"/>
    </row>
    <row r="21" spans="2:8" ht="24" customHeight="1">
      <c r="B21" s="643" t="s">
        <v>770</v>
      </c>
      <c r="C21" s="643"/>
      <c r="D21" s="643"/>
      <c r="E21" s="304">
        <f>E8/E13</f>
        <v>0.4991768794585696</v>
      </c>
      <c r="F21" s="304">
        <f>F8/F13</f>
        <v>0.5734434063190927</v>
      </c>
      <c r="G21" s="304">
        <f>G8/G13</f>
        <v>0.5235296587045044</v>
      </c>
      <c r="H21" s="304">
        <f>H8/H13</f>
        <v>0.7932986396421072</v>
      </c>
    </row>
    <row r="22" spans="2:8" ht="22.5" customHeight="1">
      <c r="B22" s="650" t="s">
        <v>771</v>
      </c>
      <c r="C22" s="651"/>
      <c r="D22" s="651"/>
      <c r="E22" s="305">
        <f>E8/E7</f>
        <v>0.4389841754971548</v>
      </c>
      <c r="F22" s="305">
        <f>F8/F7</f>
        <v>0.47113370347040123</v>
      </c>
      <c r="G22" s="305">
        <f>G8/G7</f>
        <v>0.4199131283881612</v>
      </c>
      <c r="H22" s="305">
        <f>H8/H7</f>
        <v>0.6815035588933116</v>
      </c>
    </row>
    <row r="23" spans="2:7" ht="12.75">
      <c r="B23" s="652"/>
      <c r="C23" s="652"/>
      <c r="D23" s="652"/>
      <c r="E23" s="1"/>
      <c r="F23" s="1"/>
      <c r="G23" s="1"/>
    </row>
    <row r="24" spans="2:7" ht="12.75">
      <c r="B24" s="14" t="s">
        <v>10</v>
      </c>
      <c r="C24" s="1"/>
      <c r="D24" s="1"/>
      <c r="E24" s="1"/>
      <c r="F24" s="1"/>
      <c r="G24" s="1"/>
    </row>
    <row r="25" spans="2:7" ht="12.75">
      <c r="B25" s="1"/>
      <c r="C25" s="1"/>
      <c r="D25" s="1"/>
      <c r="E25" s="1"/>
      <c r="F25" s="1"/>
      <c r="G25" s="1"/>
    </row>
    <row r="26" spans="2:8" ht="12.75">
      <c r="B26" s="645" t="s">
        <v>318</v>
      </c>
      <c r="C26" s="647"/>
      <c r="D26" s="659" t="s">
        <v>990</v>
      </c>
      <c r="E26" s="661">
        <v>37257</v>
      </c>
      <c r="F26" s="661">
        <v>37622</v>
      </c>
      <c r="G26" s="657">
        <v>37987</v>
      </c>
      <c r="H26" s="655">
        <v>38353</v>
      </c>
    </row>
    <row r="27" spans="2:8" ht="18.75" customHeight="1">
      <c r="B27" s="645"/>
      <c r="C27" s="647"/>
      <c r="D27" s="660"/>
      <c r="E27" s="660"/>
      <c r="F27" s="660"/>
      <c r="G27" s="658"/>
      <c r="H27" s="656"/>
    </row>
    <row r="28" spans="2:8" ht="12.75">
      <c r="B28" s="639" t="s">
        <v>395</v>
      </c>
      <c r="C28" s="640"/>
      <c r="D28" s="61" t="s">
        <v>387</v>
      </c>
      <c r="E28" s="306">
        <f>АналитБал!B15</f>
        <v>564</v>
      </c>
      <c r="F28" s="306">
        <f>АналитБал!C15</f>
        <v>200</v>
      </c>
      <c r="G28" s="306">
        <f>АналитБал!D15</f>
        <v>8245</v>
      </c>
      <c r="H28" s="306">
        <f>АналитБал!E15</f>
        <v>530</v>
      </c>
    </row>
    <row r="29" spans="2:8" ht="11.25" customHeight="1">
      <c r="B29" s="639" t="s">
        <v>396</v>
      </c>
      <c r="C29" s="640"/>
      <c r="D29" s="61" t="s">
        <v>387</v>
      </c>
      <c r="E29" s="306">
        <f>АналитБал!B14</f>
        <v>0</v>
      </c>
      <c r="F29" s="306">
        <f>АналитБал!C14</f>
        <v>0</v>
      </c>
      <c r="G29" s="306">
        <f>АналитБал!D14</f>
        <v>0</v>
      </c>
      <c r="H29" s="306">
        <f>АналитБал!E14</f>
        <v>0</v>
      </c>
    </row>
    <row r="30" spans="2:8" ht="12.75" customHeight="1">
      <c r="B30" s="639" t="s">
        <v>611</v>
      </c>
      <c r="C30" s="640"/>
      <c r="D30" s="61" t="s">
        <v>387</v>
      </c>
      <c r="E30" s="306">
        <f>АналитБал!B13</f>
        <v>5433</v>
      </c>
      <c r="F30" s="306">
        <f>АналитБал!C13</f>
        <v>11979</v>
      </c>
      <c r="G30" s="306">
        <f>АналитБал!D13</f>
        <v>9389</v>
      </c>
      <c r="H30" s="306">
        <f>АналитБал!E13</f>
        <v>13844</v>
      </c>
    </row>
    <row r="31" spans="2:8" ht="12.75">
      <c r="B31" s="639" t="s">
        <v>612</v>
      </c>
      <c r="C31" s="640"/>
      <c r="D31" s="61" t="s">
        <v>387</v>
      </c>
      <c r="E31" s="306">
        <f>АналитБал!B12</f>
        <v>43736</v>
      </c>
      <c r="F31" s="306">
        <f>АналитБал!C12</f>
        <v>56084</v>
      </c>
      <c r="G31" s="306">
        <f>АналитБал!D12</f>
        <v>71463</v>
      </c>
      <c r="H31" s="306">
        <f>АналитБал!E12</f>
        <v>87624</v>
      </c>
    </row>
    <row r="32" spans="2:8" ht="12.75">
      <c r="B32" s="639" t="s">
        <v>397</v>
      </c>
      <c r="C32" s="640"/>
      <c r="D32" s="61" t="s">
        <v>387</v>
      </c>
      <c r="E32" s="306">
        <f>Данные!C48</f>
        <v>124052</v>
      </c>
      <c r="F32" s="306">
        <f>Данные!D48</f>
        <v>146535</v>
      </c>
      <c r="G32" s="307">
        <f>Данные!E48</f>
        <v>140873</v>
      </c>
      <c r="H32" s="308">
        <f>Данные!F48</f>
        <v>155052</v>
      </c>
    </row>
    <row r="33" spans="2:8" ht="24" customHeight="1">
      <c r="B33" s="639" t="s">
        <v>398</v>
      </c>
      <c r="C33" s="640"/>
      <c r="D33" s="61" t="s">
        <v>387</v>
      </c>
      <c r="E33" s="306">
        <f>Данные!C39</f>
        <v>0</v>
      </c>
      <c r="F33" s="306">
        <f>Данные!D39</f>
        <v>0</v>
      </c>
      <c r="G33" s="307">
        <f>Данные!E39</f>
        <v>0</v>
      </c>
      <c r="H33" s="308">
        <f>Данные!F39</f>
        <v>0</v>
      </c>
    </row>
    <row r="34" spans="2:8" ht="22.5" customHeight="1">
      <c r="B34" s="639" t="s">
        <v>399</v>
      </c>
      <c r="C34" s="640"/>
      <c r="D34" s="61" t="s">
        <v>387</v>
      </c>
      <c r="E34" s="306">
        <f>Данные!C34</f>
        <v>0</v>
      </c>
      <c r="F34" s="306">
        <f>Данные!D34</f>
        <v>0</v>
      </c>
      <c r="G34" s="307">
        <f>Данные!E34</f>
        <v>0</v>
      </c>
      <c r="H34" s="308">
        <f>Данные!F34</f>
        <v>0</v>
      </c>
    </row>
    <row r="35" spans="2:8" ht="12.75">
      <c r="B35" s="639" t="s">
        <v>400</v>
      </c>
      <c r="C35" s="640"/>
      <c r="D35" s="61" t="s">
        <v>387</v>
      </c>
      <c r="E35" s="306">
        <f>E9</f>
        <v>5320</v>
      </c>
      <c r="F35" s="306">
        <f>F9</f>
        <v>6578</v>
      </c>
      <c r="G35" s="307">
        <f>G9</f>
        <v>12846</v>
      </c>
      <c r="H35" s="308">
        <f>H9</f>
        <v>2525</v>
      </c>
    </row>
    <row r="36" spans="2:8" ht="24" customHeight="1">
      <c r="B36" s="639" t="s">
        <v>401</v>
      </c>
      <c r="C36" s="640"/>
      <c r="D36" s="61" t="s">
        <v>387</v>
      </c>
      <c r="E36" s="306">
        <f>'2003'!C78+'2003'!C79+'2003'!C80+'2003'!C81+'2003'!C82+'2003'!C83</f>
        <v>22581</v>
      </c>
      <c r="F36" s="306">
        <f>'2003'!D78+'2003'!D79+'2003'!D80+'2003'!D81+'2003'!D82+'2003'!D83</f>
        <v>29524</v>
      </c>
      <c r="G36" s="307">
        <f>'2004'!D78+'2004'!D79+'2004'!D80+'2004'!D81+'2004'!D82+'2004'!D83</f>
        <v>38838</v>
      </c>
      <c r="H36" s="308">
        <f>'2005'!D78+'2005'!D79+'2005'!D80+'2005'!D81+'2005'!D82+'2005'!D83</f>
        <v>29961</v>
      </c>
    </row>
    <row r="37" spans="2:8" ht="24" customHeight="1">
      <c r="B37" s="653" t="s">
        <v>481</v>
      </c>
      <c r="C37" s="654"/>
      <c r="D37" s="119" t="s">
        <v>392</v>
      </c>
      <c r="E37" s="309">
        <f>(E28+E29)/E36</f>
        <v>0.0249767503653514</v>
      </c>
      <c r="F37" s="309">
        <f>(F28+F29)/F36</f>
        <v>0.006774149844194554</v>
      </c>
      <c r="G37" s="309">
        <f>(G28+G29)/G36</f>
        <v>0.2122920850713219</v>
      </c>
      <c r="H37" s="309">
        <f>(H28+H29)/H36</f>
        <v>0.01768966322886419</v>
      </c>
    </row>
    <row r="38" spans="2:8" ht="34.5" customHeight="1">
      <c r="B38" s="653" t="s">
        <v>801</v>
      </c>
      <c r="C38" s="654"/>
      <c r="D38" s="119" t="s">
        <v>393</v>
      </c>
      <c r="E38" s="309">
        <f>(E28+E29+E30)/E36</f>
        <v>0.26557725521456094</v>
      </c>
      <c r="F38" s="309">
        <f>(F28+F29+F30)/F36</f>
        <v>0.41251185476222735</v>
      </c>
      <c r="G38" s="309">
        <f>(G28+G29+G30)/G36</f>
        <v>0.45403985787115714</v>
      </c>
      <c r="H38" s="309">
        <f>(H28+H29+H30)/H36</f>
        <v>0.47975701745602617</v>
      </c>
    </row>
    <row r="39" spans="2:8" ht="23.25" customHeight="1">
      <c r="B39" s="653" t="s">
        <v>1028</v>
      </c>
      <c r="C39" s="654"/>
      <c r="D39" s="119" t="s">
        <v>394</v>
      </c>
      <c r="E39" s="309">
        <f>(E28+E29+E30+E31)/E36</f>
        <v>2.2024268190071297</v>
      </c>
      <c r="F39" s="309">
        <f>(F28+F29+F30+F31)/F36</f>
        <v>2.312118954071264</v>
      </c>
      <c r="G39" s="309">
        <f>(G28+G29+G30+G31)/G36</f>
        <v>2.2940676656882433</v>
      </c>
      <c r="H39" s="309">
        <f>(H28+H29+H30+H31)/H36</f>
        <v>3.4043590000333768</v>
      </c>
    </row>
    <row r="40" spans="2:8" ht="24" customHeight="1">
      <c r="B40" s="639" t="s">
        <v>800</v>
      </c>
      <c r="C40" s="640"/>
      <c r="D40" s="120" t="s">
        <v>393</v>
      </c>
      <c r="E40" s="310" t="s">
        <v>387</v>
      </c>
      <c r="F40" s="311" t="str">
        <f>IF(F39&lt;2,IF(F39&gt;E39,(F39+6/12*(F39-E39))/2,0),"-")</f>
        <v>-</v>
      </c>
      <c r="G40" s="311" t="str">
        <f>IF(G39&lt;2,IF(G39&gt;F39,(G39+6/12*(G39-F39))/2,0),"-")</f>
        <v>-</v>
      </c>
      <c r="H40" s="311" t="str">
        <f>IF(H39&lt;2,IF(H39&gt;G39,(H39+6/12*(H39-G39))/2,0),"-")</f>
        <v>-</v>
      </c>
    </row>
    <row r="41" spans="1:8" ht="23.25" customHeight="1">
      <c r="A41" s="21"/>
      <c r="B41" s="639" t="s">
        <v>829</v>
      </c>
      <c r="C41" s="640"/>
      <c r="D41" s="120" t="s">
        <v>393</v>
      </c>
      <c r="E41" s="310"/>
      <c r="F41" s="311" t="str">
        <f>IF(F39&gt;2,IF(F39&lt;E39,(F39-6/12*(-F39+E39))/2,"-"),"-")</f>
        <v>-</v>
      </c>
      <c r="G41" s="311">
        <f>IF(G39&gt;2,IF(G39&lt;F39,(G39+6/12*(-G39+F39))/2,"-"),"-")</f>
        <v>1.1515466549398767</v>
      </c>
      <c r="H41" s="311" t="str">
        <f>IF(H39&gt;2,IF(H39&lt;G39,(H39+6/12*(-H39+G39))/2,"-"),"-")</f>
        <v>-</v>
      </c>
    </row>
    <row r="42" spans="1:8" ht="12.75" customHeight="1">
      <c r="A42" s="21"/>
      <c r="B42" s="223"/>
      <c r="C42" s="223"/>
      <c r="D42" s="224"/>
      <c r="E42" s="225"/>
      <c r="F42" s="226"/>
      <c r="G42" s="226"/>
      <c r="H42" s="226"/>
    </row>
    <row r="43" spans="1:8" ht="12.75">
      <c r="A43" s="22"/>
      <c r="B43" s="24" t="s">
        <v>1025</v>
      </c>
      <c r="C43" s="24"/>
      <c r="D43" s="24"/>
      <c r="E43" s="24"/>
      <c r="F43" s="24"/>
      <c r="G43" s="24"/>
      <c r="H43" s="21"/>
    </row>
    <row r="44" spans="1:8" ht="12.75">
      <c r="A44" s="22"/>
      <c r="B44" s="25"/>
      <c r="C44" s="25"/>
      <c r="D44" s="25"/>
      <c r="E44" s="25"/>
      <c r="F44" s="25"/>
      <c r="G44" s="25"/>
      <c r="H44" s="21"/>
    </row>
    <row r="45" spans="1:8" ht="12.75">
      <c r="A45" s="22"/>
      <c r="B45" s="443" t="s">
        <v>989</v>
      </c>
      <c r="C45" s="443"/>
      <c r="D45" s="443"/>
      <c r="E45" s="444"/>
      <c r="F45" s="444"/>
      <c r="G45" s="444"/>
      <c r="H45" s="444"/>
    </row>
    <row r="46" spans="1:8" ht="12.75">
      <c r="A46" s="22"/>
      <c r="B46" s="26"/>
      <c r="C46" s="26"/>
      <c r="D46" s="26"/>
      <c r="E46" s="27"/>
      <c r="F46" s="27"/>
      <c r="G46" s="27"/>
      <c r="H46" s="21"/>
    </row>
    <row r="47" spans="1:8" ht="12.75">
      <c r="A47" s="22"/>
      <c r="B47" s="630" t="s">
        <v>318</v>
      </c>
      <c r="C47" s="631"/>
      <c r="D47" s="632"/>
      <c r="E47" s="636" t="s">
        <v>810</v>
      </c>
      <c r="F47" s="636">
        <v>2002</v>
      </c>
      <c r="G47" s="636">
        <v>2003</v>
      </c>
      <c r="H47" s="636">
        <v>2004</v>
      </c>
    </row>
    <row r="48" spans="1:8" ht="12.75">
      <c r="A48" s="22"/>
      <c r="B48" s="633"/>
      <c r="C48" s="634"/>
      <c r="D48" s="635"/>
      <c r="E48" s="637"/>
      <c r="F48" s="638"/>
      <c r="G48" s="638"/>
      <c r="H48" s="637"/>
    </row>
    <row r="49" spans="1:8" ht="12.75">
      <c r="A49" s="22"/>
      <c r="B49" s="627" t="s">
        <v>980</v>
      </c>
      <c r="C49" s="628"/>
      <c r="D49" s="629"/>
      <c r="E49" s="445" t="s">
        <v>811</v>
      </c>
      <c r="F49" s="451">
        <f>Данные!C111</f>
        <v>65747</v>
      </c>
      <c r="G49" s="451">
        <f>Данные!D111</f>
        <v>65909</v>
      </c>
      <c r="H49" s="451">
        <f>Данные!E111</f>
        <v>122618</v>
      </c>
    </row>
    <row r="50" spans="1:8" ht="12.75">
      <c r="A50" s="22"/>
      <c r="B50" s="621" t="s">
        <v>981</v>
      </c>
      <c r="C50" s="622"/>
      <c r="D50" s="623"/>
      <c r="E50" s="446" t="s">
        <v>812</v>
      </c>
      <c r="F50" s="451">
        <f>Данные!C114</f>
        <v>55674</v>
      </c>
      <c r="G50" s="451">
        <f>Данные!D114</f>
        <v>56337</v>
      </c>
      <c r="H50" s="451">
        <f>Данные!E114</f>
        <v>94308</v>
      </c>
    </row>
    <row r="51" spans="1:8" ht="12.75">
      <c r="A51" s="22"/>
      <c r="B51" s="627" t="s">
        <v>982</v>
      </c>
      <c r="C51" s="628"/>
      <c r="D51" s="629"/>
      <c r="E51" s="446" t="s">
        <v>813</v>
      </c>
      <c r="F51" s="451">
        <f>Данные!C57</f>
        <v>53120</v>
      </c>
      <c r="G51" s="451">
        <f>Данные!D57</f>
        <v>61764</v>
      </c>
      <c r="H51" s="451">
        <f>Данные!E57</f>
        <v>82477</v>
      </c>
    </row>
    <row r="52" spans="1:8" ht="12.75">
      <c r="A52" s="22"/>
      <c r="B52" s="621" t="s">
        <v>983</v>
      </c>
      <c r="C52" s="622"/>
      <c r="D52" s="623"/>
      <c r="E52" s="446" t="s">
        <v>387</v>
      </c>
      <c r="F52" s="451">
        <v>360</v>
      </c>
      <c r="G52" s="451">
        <v>360</v>
      </c>
      <c r="H52" s="451">
        <v>360</v>
      </c>
    </row>
    <row r="53" spans="1:8" ht="12.75">
      <c r="A53" s="22"/>
      <c r="B53" s="627" t="s">
        <v>984</v>
      </c>
      <c r="C53" s="628"/>
      <c r="D53" s="629"/>
      <c r="E53" s="446" t="s">
        <v>814</v>
      </c>
      <c r="F53" s="451">
        <f>F51/F52</f>
        <v>147.55555555555554</v>
      </c>
      <c r="G53" s="451">
        <f>G51/G52</f>
        <v>171.56666666666666</v>
      </c>
      <c r="H53" s="451">
        <f>H51/H52</f>
        <v>229.1027777777778</v>
      </c>
    </row>
    <row r="54" spans="1:8" ht="12.75">
      <c r="A54" s="22"/>
      <c r="B54" s="627" t="s">
        <v>985</v>
      </c>
      <c r="C54" s="628"/>
      <c r="D54" s="629"/>
      <c r="E54" s="446" t="s">
        <v>387</v>
      </c>
      <c r="F54" s="451">
        <f>F52/(F50/((Данные!D15+Данные!C15)/2))</f>
        <v>307.95344325897184</v>
      </c>
      <c r="G54" s="451">
        <f>G52/(G50/((Данные!E15+Данные!D15)/2))</f>
        <v>393.27972735502425</v>
      </c>
      <c r="H54" s="451">
        <f>H52/(H50/((Данные!F15+Данные!E15)/2))</f>
        <v>299.7766891462018</v>
      </c>
    </row>
    <row r="55" spans="1:8" ht="12.75">
      <c r="A55" s="22"/>
      <c r="B55" s="448" t="s">
        <v>592</v>
      </c>
      <c r="C55" s="449"/>
      <c r="D55" s="450"/>
      <c r="E55" s="446" t="s">
        <v>986</v>
      </c>
      <c r="F55" s="451">
        <v>60</v>
      </c>
      <c r="G55" s="451">
        <v>60</v>
      </c>
      <c r="H55" s="451">
        <v>60</v>
      </c>
    </row>
    <row r="56" spans="1:8" ht="14.25" customHeight="1">
      <c r="A56" s="22"/>
      <c r="B56" s="627" t="s">
        <v>593</v>
      </c>
      <c r="C56" s="628"/>
      <c r="D56" s="629"/>
      <c r="E56" s="446" t="s">
        <v>815</v>
      </c>
      <c r="F56" s="451">
        <f>F53*F55</f>
        <v>8853.333333333332</v>
      </c>
      <c r="G56" s="451">
        <f>G53*G55</f>
        <v>10294</v>
      </c>
      <c r="H56" s="451">
        <f>H53*H55</f>
        <v>13746.166666666668</v>
      </c>
    </row>
    <row r="57" spans="1:8" ht="12.75">
      <c r="A57" s="22"/>
      <c r="B57" s="621" t="s">
        <v>595</v>
      </c>
      <c r="C57" s="622"/>
      <c r="D57" s="623"/>
      <c r="E57" s="446" t="s">
        <v>816</v>
      </c>
      <c r="F57" s="451">
        <f>(Данные!D16+Данные!C16)/2</f>
        <v>16613.5</v>
      </c>
      <c r="G57" s="451">
        <f>(Данные!E16+Данные!D16)/2</f>
        <v>18672</v>
      </c>
      <c r="H57" s="451">
        <f>(Данные!F16+Данные!E16)/2</f>
        <v>23632</v>
      </c>
    </row>
    <row r="58" spans="1:8" ht="12.75">
      <c r="A58" s="22"/>
      <c r="B58" s="627" t="s">
        <v>987</v>
      </c>
      <c r="C58" s="628"/>
      <c r="D58" s="629"/>
      <c r="E58" s="446" t="s">
        <v>986</v>
      </c>
      <c r="F58" s="451">
        <v>10000</v>
      </c>
      <c r="G58" s="451">
        <v>10000</v>
      </c>
      <c r="H58" s="451">
        <v>10000</v>
      </c>
    </row>
    <row r="59" spans="1:8" ht="12.75">
      <c r="A59" s="22"/>
      <c r="B59" s="621" t="s">
        <v>988</v>
      </c>
      <c r="C59" s="622"/>
      <c r="D59" s="623"/>
      <c r="E59" s="446" t="s">
        <v>817</v>
      </c>
      <c r="F59" s="451">
        <f>(Данные!D106+Данные!C106)/2</f>
        <v>26052.5</v>
      </c>
      <c r="G59" s="451">
        <f>(Данные!E106+Данные!D106)/2</f>
        <v>34181</v>
      </c>
      <c r="H59" s="451">
        <f>(Данные!F106+Данные!E106)/2</f>
        <v>34399.5</v>
      </c>
    </row>
    <row r="60" spans="1:8" ht="12.75">
      <c r="A60" s="22"/>
      <c r="B60" s="624" t="s">
        <v>594</v>
      </c>
      <c r="C60" s="625"/>
      <c r="D60" s="626"/>
      <c r="E60" s="447" t="s">
        <v>818</v>
      </c>
      <c r="F60" s="452">
        <f>(F56+F58+F59)/F59</f>
        <v>1.7236669545469083</v>
      </c>
      <c r="G60" s="452">
        <f>(G56+G58+G59)/G59</f>
        <v>1.593721658231181</v>
      </c>
      <c r="H60" s="451">
        <f>(H56+H58+H59)/H59</f>
        <v>1.6903055761469403</v>
      </c>
    </row>
    <row r="61" spans="1:8" ht="13.5" customHeight="1">
      <c r="A61" s="22"/>
      <c r="B61" s="26"/>
      <c r="C61" s="26"/>
      <c r="D61" s="26"/>
      <c r="E61" s="27"/>
      <c r="F61" s="27"/>
      <c r="G61" s="27"/>
      <c r="H61" s="21"/>
    </row>
    <row r="62" spans="1:8" ht="24" customHeight="1">
      <c r="A62" s="22"/>
      <c r="B62" s="26"/>
      <c r="C62" s="26"/>
      <c r="D62" s="26"/>
      <c r="E62" s="27"/>
      <c r="F62" s="27"/>
      <c r="G62" s="27"/>
      <c r="H62" s="21"/>
    </row>
    <row r="63" spans="1:8" ht="12.75">
      <c r="A63" s="22"/>
      <c r="B63" s="24"/>
      <c r="C63" s="24"/>
      <c r="D63" s="24"/>
      <c r="E63" s="24"/>
      <c r="F63" s="24"/>
      <c r="G63" s="24"/>
      <c r="H63" s="21"/>
    </row>
    <row r="64" spans="1:8" ht="12.75">
      <c r="A64" s="22"/>
      <c r="B64" s="24"/>
      <c r="C64" s="24"/>
      <c r="D64" s="24"/>
      <c r="E64" s="24"/>
      <c r="F64" s="24"/>
      <c r="G64" s="24"/>
      <c r="H64" s="21"/>
    </row>
    <row r="65" spans="1:8" ht="12.75">
      <c r="A65" s="22"/>
      <c r="B65" s="28"/>
      <c r="C65" s="24"/>
      <c r="D65" s="24"/>
      <c r="E65" s="24"/>
      <c r="F65" s="24"/>
      <c r="G65" s="24"/>
      <c r="H65" s="21"/>
    </row>
    <row r="66" spans="1:8" ht="12.75">
      <c r="A66" s="22"/>
      <c r="B66" s="24"/>
      <c r="C66" s="24"/>
      <c r="D66" s="24"/>
      <c r="E66" s="24"/>
      <c r="F66" s="24"/>
      <c r="G66" s="24"/>
      <c r="H66" s="21"/>
    </row>
    <row r="67" spans="1:8" ht="12.75">
      <c r="A67" s="22"/>
      <c r="B67" s="25"/>
      <c r="C67" s="25"/>
      <c r="D67" s="25"/>
      <c r="E67" s="25"/>
      <c r="F67" s="25"/>
      <c r="G67" s="25"/>
      <c r="H67" s="21"/>
    </row>
    <row r="68" spans="1:8" ht="12.75">
      <c r="A68" s="22"/>
      <c r="B68" s="25"/>
      <c r="C68" s="25"/>
      <c r="D68" s="25"/>
      <c r="E68" s="25"/>
      <c r="F68" s="25"/>
      <c r="G68" s="25"/>
      <c r="H68" s="21"/>
    </row>
    <row r="69" spans="1:8" ht="12.75">
      <c r="A69" s="22"/>
      <c r="B69" s="29"/>
      <c r="C69" s="29"/>
      <c r="D69" s="30"/>
      <c r="E69" s="31"/>
      <c r="F69" s="31"/>
      <c r="G69" s="31"/>
      <c r="H69" s="21"/>
    </row>
    <row r="70" spans="1:8" ht="12.75">
      <c r="A70" s="22"/>
      <c r="B70" s="29"/>
      <c r="C70" s="29"/>
      <c r="D70" s="30"/>
      <c r="E70" s="31"/>
      <c r="F70" s="31"/>
      <c r="G70" s="31"/>
      <c r="H70" s="21"/>
    </row>
    <row r="71" spans="1:8" ht="12.75">
      <c r="A71" s="22"/>
      <c r="B71" s="29"/>
      <c r="C71" s="29"/>
      <c r="D71" s="30"/>
      <c r="E71" s="31"/>
      <c r="F71" s="31"/>
      <c r="G71" s="31"/>
      <c r="H71" s="21"/>
    </row>
    <row r="72" spans="1:8" ht="12.75">
      <c r="A72" s="22"/>
      <c r="B72" s="29"/>
      <c r="C72" s="29"/>
      <c r="D72" s="30"/>
      <c r="E72" s="31"/>
      <c r="F72" s="31"/>
      <c r="G72" s="31"/>
      <c r="H72" s="21"/>
    </row>
    <row r="73" spans="1:8" ht="12.75">
      <c r="A73" s="22"/>
      <c r="B73" s="29"/>
      <c r="C73" s="29"/>
      <c r="D73" s="30"/>
      <c r="E73" s="31"/>
      <c r="F73" s="31"/>
      <c r="G73" s="31"/>
      <c r="H73" s="21"/>
    </row>
    <row r="74" spans="1:8" ht="12.75">
      <c r="A74" s="22"/>
      <c r="B74" s="29"/>
      <c r="C74" s="29"/>
      <c r="D74" s="30"/>
      <c r="E74" s="31"/>
      <c r="F74" s="31"/>
      <c r="G74" s="31"/>
      <c r="H74" s="21"/>
    </row>
    <row r="75" spans="1:8" ht="12.75">
      <c r="A75" s="22"/>
      <c r="B75" s="29"/>
      <c r="C75" s="29"/>
      <c r="D75" s="30"/>
      <c r="E75" s="31"/>
      <c r="F75" s="31"/>
      <c r="G75" s="31"/>
      <c r="H75" s="21"/>
    </row>
    <row r="76" spans="1:8" ht="12.75">
      <c r="A76" s="22"/>
      <c r="B76" s="29"/>
      <c r="C76" s="29"/>
      <c r="D76" s="30"/>
      <c r="E76" s="31"/>
      <c r="F76" s="31"/>
      <c r="G76" s="31"/>
      <c r="H76" s="21"/>
    </row>
    <row r="77" spans="1:8" ht="12.75">
      <c r="A77" s="22"/>
      <c r="B77" s="29"/>
      <c r="C77" s="29"/>
      <c r="D77" s="30"/>
      <c r="E77" s="31"/>
      <c r="F77" s="31"/>
      <c r="G77" s="31"/>
      <c r="H77" s="21"/>
    </row>
    <row r="78" spans="1:8" ht="12.75">
      <c r="A78" s="22"/>
      <c r="B78" s="29"/>
      <c r="C78" s="29"/>
      <c r="D78" s="30"/>
      <c r="E78" s="31"/>
      <c r="F78" s="31"/>
      <c r="G78" s="31"/>
      <c r="H78" s="21"/>
    </row>
    <row r="79" spans="1:8" ht="12.75">
      <c r="A79" s="22"/>
      <c r="B79" s="29"/>
      <c r="C79" s="29"/>
      <c r="D79" s="30"/>
      <c r="E79" s="31"/>
      <c r="F79" s="31"/>
      <c r="G79" s="31"/>
      <c r="H79" s="21"/>
    </row>
    <row r="80" spans="1:8" ht="12.75">
      <c r="A80" s="22"/>
      <c r="B80" s="32"/>
      <c r="C80" s="32"/>
      <c r="D80" s="30"/>
      <c r="E80" s="31"/>
      <c r="F80" s="31"/>
      <c r="G80" s="31"/>
      <c r="H80" s="21"/>
    </row>
    <row r="81" spans="1:8" ht="12.75">
      <c r="A81" s="22"/>
      <c r="B81" s="29"/>
      <c r="C81" s="29"/>
      <c r="D81" s="30"/>
      <c r="E81" s="31"/>
      <c r="F81" s="31"/>
      <c r="G81" s="31"/>
      <c r="H81" s="21"/>
    </row>
    <row r="82" spans="1:8" ht="12.75">
      <c r="A82" s="22"/>
      <c r="B82" s="32"/>
      <c r="C82" s="32"/>
      <c r="D82" s="30"/>
      <c r="E82" s="31"/>
      <c r="F82" s="31"/>
      <c r="G82" s="31"/>
      <c r="H82" s="21"/>
    </row>
    <row r="83" spans="1:8" ht="12.75">
      <c r="A83" s="22"/>
      <c r="B83" s="29"/>
      <c r="C83" s="29"/>
      <c r="D83" s="30"/>
      <c r="E83" s="31"/>
      <c r="F83" s="31"/>
      <c r="G83" s="31"/>
      <c r="H83" s="21"/>
    </row>
    <row r="84" spans="1:8" ht="12.75">
      <c r="A84" s="22"/>
      <c r="B84" s="32"/>
      <c r="C84" s="32"/>
      <c r="D84" s="30"/>
      <c r="E84" s="31"/>
      <c r="F84" s="31"/>
      <c r="G84" s="31"/>
      <c r="H84" s="21"/>
    </row>
    <row r="85" spans="1:8" ht="12.75">
      <c r="A85" s="22"/>
      <c r="B85" s="29"/>
      <c r="C85" s="29"/>
      <c r="D85" s="30"/>
      <c r="E85" s="31"/>
      <c r="F85" s="31"/>
      <c r="G85" s="31"/>
      <c r="H85" s="21"/>
    </row>
    <row r="86" spans="1:8" ht="12.75">
      <c r="A86" s="22"/>
      <c r="B86" s="32"/>
      <c r="C86" s="32"/>
      <c r="D86" s="30"/>
      <c r="E86" s="31"/>
      <c r="F86" s="31"/>
      <c r="G86" s="31"/>
      <c r="H86" s="21"/>
    </row>
    <row r="87" spans="1:8" ht="12.75">
      <c r="A87" s="22"/>
      <c r="B87" s="22"/>
      <c r="C87" s="22"/>
      <c r="D87" s="22"/>
      <c r="E87" s="22"/>
      <c r="F87" s="22"/>
      <c r="G87" s="22"/>
      <c r="H87" s="21"/>
    </row>
    <row r="88" spans="1:8" ht="12.75">
      <c r="A88" s="22"/>
      <c r="B88" s="22"/>
      <c r="C88" s="22"/>
      <c r="D88" s="22"/>
      <c r="E88" s="22"/>
      <c r="F88" s="22"/>
      <c r="G88" s="22"/>
      <c r="H88" s="21"/>
    </row>
    <row r="89" spans="1:8" ht="12.75">
      <c r="A89" s="22"/>
      <c r="B89" s="23"/>
      <c r="C89" s="24"/>
      <c r="D89" s="24"/>
      <c r="E89" s="24"/>
      <c r="F89" s="24"/>
      <c r="G89" s="24"/>
      <c r="H89" s="21"/>
    </row>
    <row r="90" spans="1:8" ht="12.75">
      <c r="A90" s="22"/>
      <c r="B90" s="24"/>
      <c r="C90" s="24"/>
      <c r="D90" s="24"/>
      <c r="E90" s="24"/>
      <c r="F90" s="24"/>
      <c r="G90" s="24"/>
      <c r="H90" s="21"/>
    </row>
    <row r="91" spans="1:8" ht="12.75">
      <c r="A91" s="22"/>
      <c r="B91" s="25"/>
      <c r="C91" s="25"/>
      <c r="D91" s="25"/>
      <c r="E91" s="25"/>
      <c r="F91" s="25"/>
      <c r="G91" s="25"/>
      <c r="H91" s="21"/>
    </row>
    <row r="92" spans="1:8" ht="12.75">
      <c r="A92" s="22"/>
      <c r="B92" s="26"/>
      <c r="C92" s="26"/>
      <c r="D92" s="26"/>
      <c r="E92" s="27"/>
      <c r="F92" s="27"/>
      <c r="G92" s="27"/>
      <c r="H92" s="21"/>
    </row>
    <row r="93" spans="1:8" ht="12.75">
      <c r="A93" s="22"/>
      <c r="B93" s="26"/>
      <c r="C93" s="26"/>
      <c r="D93" s="26"/>
      <c r="E93" s="27"/>
      <c r="F93" s="27"/>
      <c r="G93" s="27"/>
      <c r="H93" s="21"/>
    </row>
    <row r="94" spans="1:8" ht="12.75">
      <c r="A94" s="22"/>
      <c r="B94" s="26"/>
      <c r="C94" s="26"/>
      <c r="D94" s="26"/>
      <c r="E94" s="27"/>
      <c r="F94" s="27"/>
      <c r="G94" s="27"/>
      <c r="H94" s="21"/>
    </row>
    <row r="95" spans="1:8" ht="12.75">
      <c r="A95" s="22"/>
      <c r="B95" s="26"/>
      <c r="C95" s="26"/>
      <c r="D95" s="26"/>
      <c r="E95" s="27"/>
      <c r="F95" s="27"/>
      <c r="G95" s="27"/>
      <c r="H95" s="21"/>
    </row>
    <row r="96" spans="1:8" ht="12.75">
      <c r="A96" s="22"/>
      <c r="B96" s="26"/>
      <c r="C96" s="26"/>
      <c r="D96" s="26"/>
      <c r="E96" s="27"/>
      <c r="F96" s="27"/>
      <c r="G96" s="27"/>
      <c r="H96" s="21"/>
    </row>
    <row r="97" spans="1:8" ht="12.75">
      <c r="A97" s="22"/>
      <c r="B97" s="26"/>
      <c r="C97" s="26"/>
      <c r="D97" s="26"/>
      <c r="E97" s="27"/>
      <c r="F97" s="27"/>
      <c r="G97" s="27"/>
      <c r="H97" s="21"/>
    </row>
    <row r="98" spans="1:8" ht="12.75">
      <c r="A98" s="22"/>
      <c r="B98" s="26"/>
      <c r="C98" s="26"/>
      <c r="D98" s="26"/>
      <c r="E98" s="27"/>
      <c r="F98" s="27"/>
      <c r="G98" s="27"/>
      <c r="H98" s="21"/>
    </row>
    <row r="99" spans="1:8" ht="12.75">
      <c r="A99" s="22"/>
      <c r="B99" s="26"/>
      <c r="C99" s="26"/>
      <c r="D99" s="26"/>
      <c r="E99" s="27"/>
      <c r="F99" s="27"/>
      <c r="G99" s="27"/>
      <c r="H99" s="21"/>
    </row>
    <row r="100" spans="1:8" ht="12.75">
      <c r="A100" s="22"/>
      <c r="B100" s="26"/>
      <c r="C100" s="26"/>
      <c r="D100" s="26"/>
      <c r="E100" s="27"/>
      <c r="F100" s="27"/>
      <c r="G100" s="27"/>
      <c r="H100" s="21"/>
    </row>
    <row r="101" spans="1:8" ht="12.75">
      <c r="A101" s="22"/>
      <c r="B101" s="26"/>
      <c r="C101" s="26"/>
      <c r="D101" s="26"/>
      <c r="E101" s="27"/>
      <c r="F101" s="27"/>
      <c r="G101" s="27"/>
      <c r="H101" s="21"/>
    </row>
    <row r="102" spans="1:8" ht="12.75">
      <c r="A102" s="22"/>
      <c r="B102" s="26"/>
      <c r="C102" s="26"/>
      <c r="D102" s="26"/>
      <c r="E102" s="27"/>
      <c r="F102" s="27"/>
      <c r="G102" s="27"/>
      <c r="H102" s="21"/>
    </row>
    <row r="103" spans="1:8" ht="12.75">
      <c r="A103" s="22"/>
      <c r="B103" s="26"/>
      <c r="C103" s="26"/>
      <c r="D103" s="26"/>
      <c r="E103" s="27"/>
      <c r="F103" s="27"/>
      <c r="G103" s="27"/>
      <c r="H103" s="21"/>
    </row>
    <row r="104" spans="1:8" ht="12.75">
      <c r="A104" s="22"/>
      <c r="B104" s="26"/>
      <c r="C104" s="26"/>
      <c r="D104" s="26"/>
      <c r="E104" s="27"/>
      <c r="F104" s="27"/>
      <c r="G104" s="27"/>
      <c r="H104" s="21"/>
    </row>
    <row r="105" spans="1:8" ht="12.75">
      <c r="A105" s="22"/>
      <c r="B105" s="26"/>
      <c r="C105" s="26"/>
      <c r="D105" s="26"/>
      <c r="E105" s="27"/>
      <c r="F105" s="27"/>
      <c r="G105" s="27"/>
      <c r="H105" s="21"/>
    </row>
    <row r="106" spans="1:8" ht="12.75">
      <c r="A106" s="22"/>
      <c r="B106" s="26"/>
      <c r="C106" s="26"/>
      <c r="D106" s="26"/>
      <c r="E106" s="27"/>
      <c r="F106" s="27"/>
      <c r="G106" s="27"/>
      <c r="H106" s="21"/>
    </row>
    <row r="107" spans="1:8" ht="12.75">
      <c r="A107" s="22"/>
      <c r="B107" s="26"/>
      <c r="C107" s="26"/>
      <c r="D107" s="26"/>
      <c r="E107" s="27"/>
      <c r="F107" s="27"/>
      <c r="G107" s="27"/>
      <c r="H107" s="21"/>
    </row>
    <row r="108" spans="1:8" ht="12.75">
      <c r="A108" s="22"/>
      <c r="B108" s="26"/>
      <c r="C108" s="26"/>
      <c r="D108" s="26"/>
      <c r="E108" s="27"/>
      <c r="F108" s="27"/>
      <c r="G108" s="27"/>
      <c r="H108" s="21"/>
    </row>
    <row r="109" spans="1:8" ht="12.75">
      <c r="A109" s="22"/>
      <c r="B109" s="26"/>
      <c r="C109" s="26"/>
      <c r="D109" s="26"/>
      <c r="E109" s="27"/>
      <c r="F109" s="27"/>
      <c r="G109" s="27"/>
      <c r="H109" s="21"/>
    </row>
    <row r="110" spans="1:8" ht="12.75">
      <c r="A110" s="22"/>
      <c r="B110" s="26"/>
      <c r="C110" s="26"/>
      <c r="D110" s="26"/>
      <c r="E110" s="27"/>
      <c r="F110" s="27"/>
      <c r="G110" s="27"/>
      <c r="H110" s="21"/>
    </row>
    <row r="111" spans="1:8" ht="12.75">
      <c r="A111" s="22"/>
      <c r="B111" s="26"/>
      <c r="C111" s="26"/>
      <c r="D111" s="26"/>
      <c r="E111" s="27"/>
      <c r="F111" s="27"/>
      <c r="G111" s="27"/>
      <c r="H111" s="21"/>
    </row>
    <row r="112" spans="1:8" ht="12.75">
      <c r="A112" s="22"/>
      <c r="B112" s="24"/>
      <c r="C112" s="24"/>
      <c r="D112" s="24"/>
      <c r="E112" s="24"/>
      <c r="F112" s="24"/>
      <c r="G112" s="24"/>
      <c r="H112" s="21"/>
    </row>
    <row r="113" spans="1:8" ht="12.75">
      <c r="A113" s="22"/>
      <c r="B113" s="24"/>
      <c r="C113" s="24"/>
      <c r="D113" s="24"/>
      <c r="E113" s="24"/>
      <c r="F113" s="24"/>
      <c r="G113" s="24"/>
      <c r="H113" s="21"/>
    </row>
    <row r="114" spans="1:8" ht="12.75">
      <c r="A114" s="22"/>
      <c r="B114" s="28"/>
      <c r="C114" s="24"/>
      <c r="D114" s="24"/>
      <c r="E114" s="24"/>
      <c r="F114" s="24"/>
      <c r="G114" s="24"/>
      <c r="H114" s="21"/>
    </row>
    <row r="115" spans="1:8" ht="12.75">
      <c r="A115" s="22"/>
      <c r="B115" s="24"/>
      <c r="C115" s="24"/>
      <c r="D115" s="24"/>
      <c r="E115" s="24"/>
      <c r="F115" s="24"/>
      <c r="G115" s="24"/>
      <c r="H115" s="21"/>
    </row>
    <row r="116" spans="1:8" ht="12.75">
      <c r="A116" s="22"/>
      <c r="B116" s="25"/>
      <c r="C116" s="25"/>
      <c r="D116" s="25"/>
      <c r="E116" s="25"/>
      <c r="F116" s="25"/>
      <c r="G116" s="25"/>
      <c r="H116" s="21"/>
    </row>
    <row r="117" spans="1:8" ht="12.75">
      <c r="A117" s="22"/>
      <c r="B117" s="25"/>
      <c r="C117" s="25"/>
      <c r="D117" s="25"/>
      <c r="E117" s="25"/>
      <c r="F117" s="25"/>
      <c r="G117" s="25"/>
      <c r="H117" s="21"/>
    </row>
    <row r="118" spans="1:8" ht="12.75">
      <c r="A118" s="22"/>
      <c r="B118" s="29"/>
      <c r="C118" s="29"/>
      <c r="D118" s="30"/>
      <c r="E118" s="31"/>
      <c r="F118" s="31"/>
      <c r="G118" s="31"/>
      <c r="H118" s="21"/>
    </row>
    <row r="119" spans="1:8" ht="12.75">
      <c r="A119" s="22"/>
      <c r="B119" s="29"/>
      <c r="C119" s="29"/>
      <c r="D119" s="30"/>
      <c r="E119" s="31"/>
      <c r="F119" s="31"/>
      <c r="G119" s="31"/>
      <c r="H119" s="21"/>
    </row>
    <row r="120" spans="1:8" ht="12.75">
      <c r="A120" s="22"/>
      <c r="B120" s="29"/>
      <c r="C120" s="29"/>
      <c r="D120" s="30"/>
      <c r="E120" s="31"/>
      <c r="F120" s="31"/>
      <c r="G120" s="31"/>
      <c r="H120" s="21"/>
    </row>
    <row r="121" spans="1:8" ht="12.75">
      <c r="A121" s="22"/>
      <c r="B121" s="29"/>
      <c r="C121" s="29"/>
      <c r="D121" s="30"/>
      <c r="E121" s="31"/>
      <c r="F121" s="31"/>
      <c r="G121" s="31"/>
      <c r="H121" s="21"/>
    </row>
    <row r="122" spans="1:8" ht="12.75">
      <c r="A122" s="22"/>
      <c r="B122" s="29"/>
      <c r="C122" s="29"/>
      <c r="D122" s="30"/>
      <c r="E122" s="31"/>
      <c r="F122" s="31"/>
      <c r="G122" s="31"/>
      <c r="H122" s="21"/>
    </row>
    <row r="123" spans="1:8" ht="12.75">
      <c r="A123" s="22"/>
      <c r="B123" s="29"/>
      <c r="C123" s="29"/>
      <c r="D123" s="30"/>
      <c r="E123" s="31"/>
      <c r="F123" s="31"/>
      <c r="G123" s="31"/>
      <c r="H123" s="21"/>
    </row>
    <row r="124" spans="1:8" ht="12.75">
      <c r="A124" s="22"/>
      <c r="B124" s="29"/>
      <c r="C124" s="29"/>
      <c r="D124" s="30"/>
      <c r="E124" s="31"/>
      <c r="F124" s="31"/>
      <c r="G124" s="31"/>
      <c r="H124" s="21"/>
    </row>
    <row r="125" spans="1:8" ht="12.75">
      <c r="A125" s="22"/>
      <c r="B125" s="29"/>
      <c r="C125" s="29"/>
      <c r="D125" s="30"/>
      <c r="E125" s="31"/>
      <c r="F125" s="31"/>
      <c r="G125" s="31"/>
      <c r="H125" s="21"/>
    </row>
    <row r="126" spans="1:8" ht="12.75">
      <c r="A126" s="22"/>
      <c r="B126" s="29"/>
      <c r="C126" s="29"/>
      <c r="D126" s="30"/>
      <c r="E126" s="31"/>
      <c r="F126" s="31"/>
      <c r="G126" s="31"/>
      <c r="H126" s="21"/>
    </row>
    <row r="127" spans="1:8" ht="12.75">
      <c r="A127" s="22"/>
      <c r="B127" s="29"/>
      <c r="C127" s="29"/>
      <c r="D127" s="30"/>
      <c r="E127" s="31"/>
      <c r="F127" s="31"/>
      <c r="G127" s="31"/>
      <c r="H127" s="21"/>
    </row>
    <row r="128" spans="1:8" ht="12.75">
      <c r="A128" s="22"/>
      <c r="B128" s="29"/>
      <c r="C128" s="29"/>
      <c r="D128" s="30"/>
      <c r="E128" s="31"/>
      <c r="F128" s="31"/>
      <c r="G128" s="31"/>
      <c r="H128" s="21"/>
    </row>
    <row r="129" spans="1:8" ht="12.75">
      <c r="A129" s="22"/>
      <c r="B129" s="32"/>
      <c r="C129" s="32"/>
      <c r="D129" s="30"/>
      <c r="E129" s="31"/>
      <c r="F129" s="31"/>
      <c r="G129" s="31"/>
      <c r="H129" s="21"/>
    </row>
    <row r="130" spans="1:8" ht="12.75">
      <c r="A130" s="22"/>
      <c r="B130" s="29"/>
      <c r="C130" s="29"/>
      <c r="D130" s="30"/>
      <c r="E130" s="31"/>
      <c r="F130" s="31"/>
      <c r="G130" s="31"/>
      <c r="H130" s="21"/>
    </row>
    <row r="131" spans="1:8" ht="12.75">
      <c r="A131" s="22"/>
      <c r="B131" s="32"/>
      <c r="C131" s="32"/>
      <c r="D131" s="30"/>
      <c r="E131" s="31"/>
      <c r="F131" s="31"/>
      <c r="G131" s="31"/>
      <c r="H131" s="21"/>
    </row>
    <row r="132" spans="1:8" ht="12.75">
      <c r="A132" s="22"/>
      <c r="B132" s="29"/>
      <c r="C132" s="29"/>
      <c r="D132" s="30"/>
      <c r="E132" s="31"/>
      <c r="F132" s="31"/>
      <c r="G132" s="31"/>
      <c r="H132" s="21"/>
    </row>
    <row r="133" spans="1:8" ht="12.75">
      <c r="A133" s="22"/>
      <c r="B133" s="32"/>
      <c r="C133" s="32"/>
      <c r="D133" s="30"/>
      <c r="E133" s="31"/>
      <c r="F133" s="31"/>
      <c r="G133" s="31"/>
      <c r="H133" s="21"/>
    </row>
    <row r="134" spans="1:8" ht="12.75">
      <c r="A134" s="22"/>
      <c r="B134" s="29"/>
      <c r="C134" s="29"/>
      <c r="D134" s="30"/>
      <c r="E134" s="31"/>
      <c r="F134" s="31"/>
      <c r="G134" s="31"/>
      <c r="H134" s="21"/>
    </row>
    <row r="135" spans="1:8" ht="12.75">
      <c r="A135" s="22"/>
      <c r="B135" s="32"/>
      <c r="C135" s="32"/>
      <c r="D135" s="30"/>
      <c r="E135" s="31"/>
      <c r="F135" s="31"/>
      <c r="G135" s="31"/>
      <c r="H135" s="21"/>
    </row>
    <row r="136" spans="1:8" ht="12.75">
      <c r="A136" s="22"/>
      <c r="B136" s="22"/>
      <c r="C136" s="22"/>
      <c r="D136" s="22"/>
      <c r="E136" s="22"/>
      <c r="F136" s="22"/>
      <c r="G136" s="22"/>
      <c r="H136" s="21"/>
    </row>
    <row r="137" spans="1:8" ht="12.75">
      <c r="A137" s="22"/>
      <c r="B137" s="22"/>
      <c r="C137" s="22"/>
      <c r="D137" s="22"/>
      <c r="E137" s="22"/>
      <c r="F137" s="22"/>
      <c r="G137" s="22"/>
      <c r="H137" s="21"/>
    </row>
    <row r="138" spans="1:8" ht="12.75">
      <c r="A138" s="22"/>
      <c r="B138" s="22"/>
      <c r="C138" s="22"/>
      <c r="D138" s="22"/>
      <c r="E138" s="22"/>
      <c r="F138" s="22"/>
      <c r="G138" s="22"/>
      <c r="H138" s="21"/>
    </row>
    <row r="139" spans="1:8" ht="12.75">
      <c r="A139" s="22"/>
      <c r="B139" s="22"/>
      <c r="C139" s="22"/>
      <c r="D139" s="22"/>
      <c r="E139" s="22"/>
      <c r="F139" s="22"/>
      <c r="G139" s="22"/>
      <c r="H139" s="21"/>
    </row>
    <row r="140" spans="1:8" ht="12.75">
      <c r="A140" s="22"/>
      <c r="B140" s="22"/>
      <c r="C140" s="22"/>
      <c r="D140" s="22"/>
      <c r="E140" s="22"/>
      <c r="F140" s="22"/>
      <c r="G140" s="22"/>
      <c r="H140" s="21"/>
    </row>
    <row r="141" spans="1:8" ht="12.75">
      <c r="A141" s="22"/>
      <c r="B141" s="22"/>
      <c r="C141" s="22"/>
      <c r="D141" s="22"/>
      <c r="E141" s="22"/>
      <c r="F141" s="22"/>
      <c r="G141" s="22"/>
      <c r="H141" s="21"/>
    </row>
    <row r="142" spans="1:8" ht="12.75">
      <c r="A142" s="22"/>
      <c r="B142" s="22"/>
      <c r="C142" s="22"/>
      <c r="D142" s="22"/>
      <c r="E142" s="22"/>
      <c r="F142" s="22"/>
      <c r="G142" s="22"/>
      <c r="H142" s="21"/>
    </row>
    <row r="143" spans="1:8" ht="12.75">
      <c r="A143" s="22"/>
      <c r="B143" s="22"/>
      <c r="C143" s="22"/>
      <c r="D143" s="22"/>
      <c r="E143" s="22"/>
      <c r="F143" s="22"/>
      <c r="G143" s="22"/>
      <c r="H143" s="21"/>
    </row>
    <row r="144" spans="1:8" ht="12.75">
      <c r="A144" s="22"/>
      <c r="B144" s="22"/>
      <c r="C144" s="22"/>
      <c r="D144" s="22"/>
      <c r="E144" s="22"/>
      <c r="F144" s="22"/>
      <c r="G144" s="22"/>
      <c r="H144" s="21"/>
    </row>
    <row r="145" spans="1:8" ht="12.75">
      <c r="A145" s="22"/>
      <c r="B145" s="22"/>
      <c r="C145" s="22"/>
      <c r="D145" s="22"/>
      <c r="E145" s="22"/>
      <c r="F145" s="22"/>
      <c r="G145" s="22"/>
      <c r="H145" s="21"/>
    </row>
    <row r="146" spans="1:8" ht="12.75">
      <c r="A146" s="22"/>
      <c r="B146" s="22"/>
      <c r="C146" s="22"/>
      <c r="D146" s="22"/>
      <c r="E146" s="22"/>
      <c r="F146" s="22"/>
      <c r="G146" s="22"/>
      <c r="H146" s="21"/>
    </row>
    <row r="147" spans="1:8" ht="12.75">
      <c r="A147" s="22"/>
      <c r="B147" s="22"/>
      <c r="C147" s="22"/>
      <c r="D147" s="22"/>
      <c r="E147" s="22"/>
      <c r="F147" s="22"/>
      <c r="G147" s="22"/>
      <c r="H147" s="21"/>
    </row>
    <row r="148" spans="1:8" ht="12.75">
      <c r="A148" s="22"/>
      <c r="B148" s="22"/>
      <c r="C148" s="22"/>
      <c r="D148" s="22"/>
      <c r="E148" s="22"/>
      <c r="F148" s="22"/>
      <c r="G148" s="22"/>
      <c r="H148" s="21"/>
    </row>
    <row r="149" spans="1:8" ht="12.75">
      <c r="A149" s="22"/>
      <c r="B149" s="22"/>
      <c r="C149" s="22"/>
      <c r="D149" s="22"/>
      <c r="E149" s="22"/>
      <c r="F149" s="22"/>
      <c r="G149" s="22"/>
      <c r="H149" s="21"/>
    </row>
    <row r="150" spans="1:8" ht="12.75">
      <c r="A150" s="22"/>
      <c r="B150" s="22"/>
      <c r="C150" s="22"/>
      <c r="D150" s="22"/>
      <c r="E150" s="22"/>
      <c r="F150" s="22"/>
      <c r="G150" s="22"/>
      <c r="H150" s="21"/>
    </row>
    <row r="151" spans="1:8" ht="12.75">
      <c r="A151" s="22"/>
      <c r="B151" s="22"/>
      <c r="C151" s="22"/>
      <c r="D151" s="22"/>
      <c r="E151" s="22"/>
      <c r="F151" s="22"/>
      <c r="G151" s="22"/>
      <c r="H151" s="21"/>
    </row>
    <row r="152" spans="1:8" ht="12.75">
      <c r="A152" s="22"/>
      <c r="B152" s="22"/>
      <c r="C152" s="22"/>
      <c r="D152" s="22"/>
      <c r="E152" s="22"/>
      <c r="F152" s="22"/>
      <c r="G152" s="22"/>
      <c r="H152" s="21"/>
    </row>
    <row r="153" spans="1:8" ht="12.75">
      <c r="A153" s="22"/>
      <c r="B153" s="22"/>
      <c r="C153" s="22"/>
      <c r="D153" s="22"/>
      <c r="E153" s="22"/>
      <c r="F153" s="22"/>
      <c r="G153" s="22"/>
      <c r="H153" s="21"/>
    </row>
    <row r="154" spans="1:8" ht="12.75">
      <c r="A154" s="22"/>
      <c r="B154" s="22"/>
      <c r="C154" s="22"/>
      <c r="D154" s="22"/>
      <c r="E154" s="22"/>
      <c r="F154" s="22"/>
      <c r="G154" s="22"/>
      <c r="H154" s="21"/>
    </row>
    <row r="155" spans="1:8" ht="12.75">
      <c r="A155" s="22"/>
      <c r="B155" s="22"/>
      <c r="C155" s="22"/>
      <c r="D155" s="22"/>
      <c r="E155" s="22"/>
      <c r="F155" s="22"/>
      <c r="G155" s="22"/>
      <c r="H155" s="21"/>
    </row>
    <row r="156" spans="1:8" ht="12.75">
      <c r="A156" s="22"/>
      <c r="B156" s="22"/>
      <c r="C156" s="22"/>
      <c r="D156" s="22"/>
      <c r="E156" s="22"/>
      <c r="F156" s="22"/>
      <c r="G156" s="22"/>
      <c r="H156" s="21"/>
    </row>
    <row r="157" spans="1:8" ht="12.75">
      <c r="A157" s="22"/>
      <c r="B157" s="22"/>
      <c r="C157" s="22"/>
      <c r="D157" s="22"/>
      <c r="E157" s="22"/>
      <c r="F157" s="22"/>
      <c r="G157" s="22"/>
      <c r="H157" s="21"/>
    </row>
    <row r="158" spans="1:8" ht="12.75">
      <c r="A158" s="22"/>
      <c r="B158" s="22"/>
      <c r="C158" s="22"/>
      <c r="D158" s="22"/>
      <c r="E158" s="22"/>
      <c r="F158" s="22"/>
      <c r="G158" s="22"/>
      <c r="H158" s="21"/>
    </row>
    <row r="159" spans="1:8" ht="12.75">
      <c r="A159" s="22"/>
      <c r="B159" s="22"/>
      <c r="C159" s="22"/>
      <c r="D159" s="22"/>
      <c r="E159" s="22"/>
      <c r="F159" s="22"/>
      <c r="G159" s="22"/>
      <c r="H159" s="21"/>
    </row>
    <row r="160" spans="1:8" ht="12.75">
      <c r="A160" s="22"/>
      <c r="B160" s="22"/>
      <c r="C160" s="22"/>
      <c r="D160" s="22"/>
      <c r="E160" s="22"/>
      <c r="F160" s="22"/>
      <c r="G160" s="22"/>
      <c r="H160" s="21"/>
    </row>
    <row r="161" spans="1:8" ht="12.75">
      <c r="A161" s="22"/>
      <c r="B161" s="22"/>
      <c r="C161" s="22"/>
      <c r="D161" s="22"/>
      <c r="E161" s="22"/>
      <c r="F161" s="22"/>
      <c r="G161" s="22"/>
      <c r="H161" s="21"/>
    </row>
    <row r="162" spans="1:8" ht="12.75">
      <c r="A162" s="22"/>
      <c r="B162" s="22"/>
      <c r="C162" s="22"/>
      <c r="D162" s="22"/>
      <c r="E162" s="22"/>
      <c r="F162" s="22"/>
      <c r="G162" s="22"/>
      <c r="H162" s="21"/>
    </row>
    <row r="163" spans="1:8" ht="12.75">
      <c r="A163" s="22"/>
      <c r="B163" s="22"/>
      <c r="C163" s="22"/>
      <c r="D163" s="22"/>
      <c r="E163" s="22"/>
      <c r="F163" s="22"/>
      <c r="G163" s="22"/>
      <c r="H163" s="21"/>
    </row>
    <row r="164" spans="1:8" ht="12.75">
      <c r="A164" s="22"/>
      <c r="B164" s="22"/>
      <c r="C164" s="22"/>
      <c r="D164" s="22"/>
      <c r="E164" s="22"/>
      <c r="F164" s="22"/>
      <c r="G164" s="22"/>
      <c r="H164" s="21"/>
    </row>
    <row r="165" spans="1:8" ht="12.75">
      <c r="A165" s="22"/>
      <c r="B165" s="22"/>
      <c r="C165" s="22"/>
      <c r="D165" s="22"/>
      <c r="E165" s="22"/>
      <c r="F165" s="22"/>
      <c r="G165" s="22"/>
      <c r="H165" s="21"/>
    </row>
    <row r="166" spans="1:8" ht="12.75">
      <c r="A166" s="22"/>
      <c r="B166" s="22"/>
      <c r="C166" s="22"/>
      <c r="D166" s="22"/>
      <c r="E166" s="22"/>
      <c r="F166" s="22"/>
      <c r="G166" s="22"/>
      <c r="H166" s="21"/>
    </row>
    <row r="167" spans="1:8" ht="12.75">
      <c r="A167" s="22"/>
      <c r="B167" s="22"/>
      <c r="C167" s="22"/>
      <c r="D167" s="22"/>
      <c r="E167" s="22"/>
      <c r="F167" s="22"/>
      <c r="G167" s="22"/>
      <c r="H167" s="21"/>
    </row>
    <row r="168" spans="1:8" ht="12.75">
      <c r="A168" s="22"/>
      <c r="B168" s="22"/>
      <c r="C168" s="22"/>
      <c r="D168" s="22"/>
      <c r="E168" s="22"/>
      <c r="F168" s="22"/>
      <c r="G168" s="22"/>
      <c r="H168" s="21"/>
    </row>
    <row r="169" spans="1:8" ht="12.75">
      <c r="A169" s="22"/>
      <c r="B169" s="22"/>
      <c r="C169" s="22"/>
      <c r="D169" s="22"/>
      <c r="E169" s="22"/>
      <c r="F169" s="22"/>
      <c r="G169" s="22"/>
      <c r="H169" s="21"/>
    </row>
    <row r="170" spans="1:8" ht="12.75">
      <c r="A170" s="22"/>
      <c r="B170" s="22"/>
      <c r="C170" s="22"/>
      <c r="D170" s="22"/>
      <c r="E170" s="22"/>
      <c r="F170" s="22"/>
      <c r="G170" s="22"/>
      <c r="H170" s="21"/>
    </row>
    <row r="171" spans="1:8" ht="12.75">
      <c r="A171" s="22"/>
      <c r="B171" s="22"/>
      <c r="C171" s="22"/>
      <c r="D171" s="22"/>
      <c r="E171" s="22"/>
      <c r="F171" s="22"/>
      <c r="G171" s="22"/>
      <c r="H171" s="21"/>
    </row>
    <row r="172" spans="1:8" ht="12.75">
      <c r="A172" s="22"/>
      <c r="B172" s="22"/>
      <c r="C172" s="22"/>
      <c r="D172" s="22"/>
      <c r="E172" s="22"/>
      <c r="F172" s="22"/>
      <c r="G172" s="22"/>
      <c r="H172" s="21"/>
    </row>
    <row r="173" spans="1:8" ht="12.75">
      <c r="A173" s="22"/>
      <c r="B173" s="22"/>
      <c r="C173" s="22"/>
      <c r="D173" s="22"/>
      <c r="E173" s="22"/>
      <c r="F173" s="22"/>
      <c r="G173" s="22"/>
      <c r="H173" s="21"/>
    </row>
    <row r="174" spans="1:8" ht="12.75">
      <c r="A174" s="22"/>
      <c r="B174" s="22"/>
      <c r="C174" s="22"/>
      <c r="D174" s="22"/>
      <c r="E174" s="22"/>
      <c r="F174" s="22"/>
      <c r="G174" s="22"/>
      <c r="H174" s="21"/>
    </row>
    <row r="175" spans="1:8" ht="12.75">
      <c r="A175" s="22"/>
      <c r="B175" s="22"/>
      <c r="C175" s="22"/>
      <c r="D175" s="22"/>
      <c r="E175" s="22"/>
      <c r="F175" s="22"/>
      <c r="G175" s="22"/>
      <c r="H175" s="21"/>
    </row>
    <row r="176" spans="1:8" ht="12.75">
      <c r="A176" s="22"/>
      <c r="B176" s="22"/>
      <c r="C176" s="22"/>
      <c r="D176" s="22"/>
      <c r="E176" s="22"/>
      <c r="F176" s="22"/>
      <c r="G176" s="22"/>
      <c r="H176" s="21"/>
    </row>
    <row r="177" spans="1:8" ht="12.75">
      <c r="A177" s="22"/>
      <c r="B177" s="22"/>
      <c r="C177" s="22"/>
      <c r="D177" s="22"/>
      <c r="E177" s="22"/>
      <c r="F177" s="22"/>
      <c r="G177" s="22"/>
      <c r="H177" s="21"/>
    </row>
    <row r="178" spans="1:8" ht="12.75">
      <c r="A178" s="22"/>
      <c r="B178" s="22"/>
      <c r="C178" s="22"/>
      <c r="D178" s="22"/>
      <c r="E178" s="22"/>
      <c r="F178" s="22"/>
      <c r="G178" s="22"/>
      <c r="H178" s="21"/>
    </row>
    <row r="179" spans="1:8" ht="12.75">
      <c r="A179" s="22"/>
      <c r="B179" s="22"/>
      <c r="C179" s="22"/>
      <c r="D179" s="22"/>
      <c r="E179" s="22"/>
      <c r="F179" s="22"/>
      <c r="G179" s="22"/>
      <c r="H179" s="21"/>
    </row>
    <row r="180" spans="1:8" ht="12.75">
      <c r="A180" s="22"/>
      <c r="B180" s="22"/>
      <c r="C180" s="22"/>
      <c r="D180" s="22"/>
      <c r="E180" s="22"/>
      <c r="F180" s="22"/>
      <c r="G180" s="22"/>
      <c r="H180" s="21"/>
    </row>
    <row r="181" spans="1:8" ht="12.75">
      <c r="A181" s="22"/>
      <c r="B181" s="22"/>
      <c r="C181" s="22"/>
      <c r="D181" s="22"/>
      <c r="E181" s="22"/>
      <c r="F181" s="22"/>
      <c r="G181" s="22"/>
      <c r="H181" s="21"/>
    </row>
    <row r="182" spans="1:8" ht="12.75">
      <c r="A182" s="22"/>
      <c r="B182" s="22"/>
      <c r="C182" s="22"/>
      <c r="D182" s="22"/>
      <c r="E182" s="22"/>
      <c r="F182" s="22"/>
      <c r="G182" s="22"/>
      <c r="H182" s="21"/>
    </row>
    <row r="183" spans="1:8" ht="12.75">
      <c r="A183" s="22"/>
      <c r="B183" s="22"/>
      <c r="C183" s="22"/>
      <c r="D183" s="22"/>
      <c r="E183" s="22"/>
      <c r="F183" s="22"/>
      <c r="G183" s="22"/>
      <c r="H183" s="21"/>
    </row>
    <row r="184" spans="1:8" ht="12.75">
      <c r="A184" s="22"/>
      <c r="B184" s="22"/>
      <c r="C184" s="22"/>
      <c r="D184" s="22"/>
      <c r="E184" s="22"/>
      <c r="F184" s="22"/>
      <c r="G184" s="22"/>
      <c r="H184" s="21"/>
    </row>
    <row r="185" spans="1:8" ht="12.75">
      <c r="A185" s="22"/>
      <c r="B185" s="22"/>
      <c r="C185" s="22"/>
      <c r="D185" s="22"/>
      <c r="E185" s="22"/>
      <c r="F185" s="22"/>
      <c r="G185" s="22"/>
      <c r="H185" s="21"/>
    </row>
    <row r="186" spans="1:8" ht="12.75">
      <c r="A186" s="22"/>
      <c r="B186" s="22"/>
      <c r="C186" s="22"/>
      <c r="D186" s="22"/>
      <c r="E186" s="22"/>
      <c r="F186" s="22"/>
      <c r="G186" s="22"/>
      <c r="H186" s="21"/>
    </row>
    <row r="187" spans="1:8" ht="12.75">
      <c r="A187" s="22"/>
      <c r="B187" s="22"/>
      <c r="C187" s="22"/>
      <c r="D187" s="22"/>
      <c r="E187" s="22"/>
      <c r="F187" s="22"/>
      <c r="G187" s="22"/>
      <c r="H187" s="21"/>
    </row>
    <row r="188" spans="1:8" ht="12.75">
      <c r="A188" s="22"/>
      <c r="B188" s="22"/>
      <c r="C188" s="22"/>
      <c r="D188" s="22"/>
      <c r="E188" s="22"/>
      <c r="F188" s="22"/>
      <c r="G188" s="22"/>
      <c r="H188" s="21"/>
    </row>
    <row r="189" spans="1:8" ht="12.75">
      <c r="A189" s="22"/>
      <c r="B189" s="22"/>
      <c r="C189" s="22"/>
      <c r="D189" s="22"/>
      <c r="E189" s="22"/>
      <c r="F189" s="22"/>
      <c r="G189" s="22"/>
      <c r="H189" s="21"/>
    </row>
    <row r="190" spans="1:8" ht="12.75">
      <c r="A190" s="22"/>
      <c r="B190" s="22"/>
      <c r="C190" s="22"/>
      <c r="D190" s="22"/>
      <c r="E190" s="22"/>
      <c r="F190" s="22"/>
      <c r="G190" s="22"/>
      <c r="H190" s="21"/>
    </row>
    <row r="191" spans="1:7" ht="12.75">
      <c r="A191" s="20"/>
      <c r="B191" s="20"/>
      <c r="C191" s="20"/>
      <c r="D191" s="20"/>
      <c r="E191" s="20"/>
      <c r="F191" s="20"/>
      <c r="G191" s="20"/>
    </row>
    <row r="192" spans="1:7" ht="12.75">
      <c r="A192" s="20"/>
      <c r="B192" s="20"/>
      <c r="C192" s="20"/>
      <c r="D192" s="20"/>
      <c r="E192" s="20"/>
      <c r="F192" s="20"/>
      <c r="G192" s="20"/>
    </row>
    <row r="193" spans="1:7" ht="12.75">
      <c r="A193" s="20"/>
      <c r="B193" s="20"/>
      <c r="C193" s="20"/>
      <c r="D193" s="20"/>
      <c r="E193" s="20"/>
      <c r="F193" s="20"/>
      <c r="G193" s="20"/>
    </row>
    <row r="194" spans="1:7" ht="12.75">
      <c r="A194" s="20"/>
      <c r="B194" s="20"/>
      <c r="C194" s="20"/>
      <c r="D194" s="20"/>
      <c r="E194" s="20"/>
      <c r="F194" s="20"/>
      <c r="G194" s="20"/>
    </row>
    <row r="195" spans="1:7" ht="12.75">
      <c r="A195" s="20"/>
      <c r="B195" s="20"/>
      <c r="C195" s="20"/>
      <c r="D195" s="20"/>
      <c r="E195" s="20"/>
      <c r="F195" s="20"/>
      <c r="G195" s="20"/>
    </row>
    <row r="196" spans="1:7" ht="12.75">
      <c r="A196" s="20"/>
      <c r="B196" s="20"/>
      <c r="C196" s="20"/>
      <c r="D196" s="20"/>
      <c r="E196" s="20"/>
      <c r="F196" s="20"/>
      <c r="G196" s="20"/>
    </row>
    <row r="197" spans="1:7" ht="12.75">
      <c r="A197" s="20"/>
      <c r="B197" s="20"/>
      <c r="C197" s="20"/>
      <c r="D197" s="20"/>
      <c r="E197" s="20"/>
      <c r="F197" s="20"/>
      <c r="G197" s="20"/>
    </row>
    <row r="198" spans="1:7" ht="12.75">
      <c r="A198" s="20"/>
      <c r="B198" s="20"/>
      <c r="C198" s="20"/>
      <c r="D198" s="20"/>
      <c r="E198" s="20"/>
      <c r="F198" s="20"/>
      <c r="G198" s="20"/>
    </row>
    <row r="199" spans="1:7" ht="12.75">
      <c r="A199" s="20"/>
      <c r="B199" s="20"/>
      <c r="C199" s="20"/>
      <c r="D199" s="20"/>
      <c r="E199" s="20"/>
      <c r="F199" s="20"/>
      <c r="G199" s="20"/>
    </row>
    <row r="200" spans="1:7" ht="12.75">
      <c r="A200" s="20"/>
      <c r="B200" s="20"/>
      <c r="C200" s="20"/>
      <c r="D200" s="20"/>
      <c r="E200" s="20"/>
      <c r="F200" s="20"/>
      <c r="G200" s="20"/>
    </row>
    <row r="201" spans="1:7" ht="12.75">
      <c r="A201" s="20"/>
      <c r="B201" s="20"/>
      <c r="C201" s="20"/>
      <c r="D201" s="20"/>
      <c r="E201" s="20"/>
      <c r="F201" s="20"/>
      <c r="G201" s="20"/>
    </row>
    <row r="202" spans="1:7" ht="12.75">
      <c r="A202" s="20"/>
      <c r="B202" s="20"/>
      <c r="C202" s="20"/>
      <c r="D202" s="20"/>
      <c r="E202" s="20"/>
      <c r="F202" s="20"/>
      <c r="G202" s="20"/>
    </row>
    <row r="203" spans="1:7" ht="12.75">
      <c r="A203" s="20"/>
      <c r="B203" s="20"/>
      <c r="C203" s="20"/>
      <c r="D203" s="20"/>
      <c r="E203" s="20"/>
      <c r="F203" s="20"/>
      <c r="G203" s="20"/>
    </row>
  </sheetData>
  <sheetProtection/>
  <mergeCells count="61">
    <mergeCell ref="H26:H27"/>
    <mergeCell ref="G26:G27"/>
    <mergeCell ref="D26:D27"/>
    <mergeCell ref="E26:E27"/>
    <mergeCell ref="F26:F27"/>
    <mergeCell ref="B39:C39"/>
    <mergeCell ref="B38:C38"/>
    <mergeCell ref="B34:C34"/>
    <mergeCell ref="B35:C35"/>
    <mergeCell ref="B36:C36"/>
    <mergeCell ref="B37:C37"/>
    <mergeCell ref="B30:C30"/>
    <mergeCell ref="B26:C27"/>
    <mergeCell ref="B31:C31"/>
    <mergeCell ref="E15:E16"/>
    <mergeCell ref="B32:C32"/>
    <mergeCell ref="B33:C33"/>
    <mergeCell ref="B28:C28"/>
    <mergeCell ref="B29:C29"/>
    <mergeCell ref="B22:D22"/>
    <mergeCell ref="B23:D23"/>
    <mergeCell ref="B17:D17"/>
    <mergeCell ref="B15:D16"/>
    <mergeCell ref="B21:D21"/>
    <mergeCell ref="B18:D18"/>
    <mergeCell ref="B19:D20"/>
    <mergeCell ref="E19:E20"/>
    <mergeCell ref="F19:F20"/>
    <mergeCell ref="F15:F16"/>
    <mergeCell ref="B4:D4"/>
    <mergeCell ref="B5:D5"/>
    <mergeCell ref="B6:D6"/>
    <mergeCell ref="B8:D8"/>
    <mergeCell ref="B7:D7"/>
    <mergeCell ref="G19:G20"/>
    <mergeCell ref="H15:H16"/>
    <mergeCell ref="B9:D9"/>
    <mergeCell ref="B10:D10"/>
    <mergeCell ref="G15:G16"/>
    <mergeCell ref="B14:D14"/>
    <mergeCell ref="B11:D11"/>
    <mergeCell ref="B12:D12"/>
    <mergeCell ref="B13:D13"/>
    <mergeCell ref="H47:H48"/>
    <mergeCell ref="B49:D49"/>
    <mergeCell ref="F47:F48"/>
    <mergeCell ref="G47:G48"/>
    <mergeCell ref="B41:C41"/>
    <mergeCell ref="B40:C40"/>
    <mergeCell ref="B50:D50"/>
    <mergeCell ref="B51:D51"/>
    <mergeCell ref="B52:D52"/>
    <mergeCell ref="B53:D53"/>
    <mergeCell ref="B47:D48"/>
    <mergeCell ref="E47:E48"/>
    <mergeCell ref="B59:D59"/>
    <mergeCell ref="B60:D60"/>
    <mergeCell ref="B54:D54"/>
    <mergeCell ref="B56:D56"/>
    <mergeCell ref="B57:D57"/>
    <mergeCell ref="B58:D58"/>
  </mergeCells>
  <printOptions/>
  <pageMargins left="0.75" right="0.75" top="1" bottom="1" header="0.5" footer="0.5"/>
  <pageSetup horizontalDpi="300" verticalDpi="300" orientation="portrait" paperSize="9" r:id="rId1"/>
  <rowBreaks count="1" manualBreakCount="1">
    <brk id="88" max="255" man="1"/>
  </rowBreaks>
</worksheet>
</file>

<file path=xl/worksheets/sheet15.xml><?xml version="1.0" encoding="utf-8"?>
<worksheet xmlns="http://schemas.openxmlformats.org/spreadsheetml/2006/main" xmlns:r="http://schemas.openxmlformats.org/officeDocument/2006/relationships">
  <dimension ref="B2:G50"/>
  <sheetViews>
    <sheetView zoomScalePageLayoutView="0" workbookViewId="0" topLeftCell="A1">
      <pane xSplit="7" ySplit="5" topLeftCell="H84" activePane="bottomRight" state="frozen"/>
      <selection pane="topLeft" activeCell="A1" sqref="A1"/>
      <selection pane="topRight" activeCell="H1" sqref="H1"/>
      <selection pane="bottomLeft" activeCell="A6" sqref="A6"/>
      <selection pane="bottomRight" activeCell="B2" sqref="B2"/>
    </sheetView>
  </sheetViews>
  <sheetFormatPr defaultColWidth="9.00390625" defaultRowHeight="12.75"/>
  <cols>
    <col min="1" max="1" width="1.25" style="0" customWidth="1"/>
    <col min="2" max="2" width="38.625" style="0" customWidth="1"/>
    <col min="3" max="3" width="8.875" style="0" customWidth="1"/>
    <col min="4" max="5" width="10.00390625" style="0" customWidth="1"/>
    <col min="6" max="6" width="7.25390625" style="0" customWidth="1"/>
    <col min="7" max="7" width="7.00390625" style="0" customWidth="1"/>
  </cols>
  <sheetData>
    <row r="2" ht="12.75">
      <c r="B2" s="14" t="s">
        <v>502</v>
      </c>
    </row>
    <row r="3" ht="5.25" customHeight="1"/>
    <row r="4" spans="2:7" ht="32.25" customHeight="1">
      <c r="B4" s="656" t="s">
        <v>312</v>
      </c>
      <c r="C4" s="656" t="s">
        <v>313</v>
      </c>
      <c r="D4" s="656"/>
      <c r="E4" s="656"/>
      <c r="F4" s="662" t="s">
        <v>527</v>
      </c>
      <c r="G4" s="662"/>
    </row>
    <row r="5" spans="2:7" ht="25.5" customHeight="1">
      <c r="B5" s="656"/>
      <c r="C5" s="43">
        <v>2002</v>
      </c>
      <c r="D5" s="43">
        <v>2003</v>
      </c>
      <c r="E5" s="43">
        <v>2004</v>
      </c>
      <c r="F5" s="43">
        <v>2003</v>
      </c>
      <c r="G5" s="43">
        <v>2004</v>
      </c>
    </row>
    <row r="6" spans="2:7" ht="12.75">
      <c r="B6" s="13" t="s">
        <v>503</v>
      </c>
      <c r="C6" s="312">
        <f>Данные!C111</f>
        <v>65747</v>
      </c>
      <c r="D6" s="312">
        <f>Данные!D111</f>
        <v>65909</v>
      </c>
      <c r="E6" s="312">
        <f>Данные!E111</f>
        <v>122618</v>
      </c>
      <c r="F6" s="313">
        <f>D6/C6*100</f>
        <v>100.24639907524298</v>
      </c>
      <c r="G6" s="313">
        <f>E6/D6*100</f>
        <v>186.04136005704834</v>
      </c>
    </row>
    <row r="7" spans="2:7" ht="12.75">
      <c r="B7" s="13" t="s">
        <v>505</v>
      </c>
      <c r="C7" s="312">
        <f>(Данные!C107+Данные!D107)/2</f>
        <v>135293.5</v>
      </c>
      <c r="D7" s="312">
        <f>(Данные!D107+Данные!E107)/2</f>
        <v>143704</v>
      </c>
      <c r="E7" s="312">
        <f>(Данные!E107+Данные!F107)/2</f>
        <v>147962.5</v>
      </c>
      <c r="F7" s="313">
        <f>D7/C7*100</f>
        <v>106.21648490134412</v>
      </c>
      <c r="G7" s="313">
        <f>E7/D7*100</f>
        <v>102.96338306518955</v>
      </c>
    </row>
    <row r="8" spans="2:7" ht="22.5">
      <c r="B8" s="13" t="s">
        <v>6</v>
      </c>
      <c r="C8" s="312">
        <f>(Данные!C53+Данные!D53)/2</f>
        <v>96283</v>
      </c>
      <c r="D8" s="312">
        <f>(Данные!D53+Данные!E53)/2</f>
        <v>100010</v>
      </c>
      <c r="E8" s="312">
        <f>(Данные!E53+Данные!F53)/2</f>
        <v>108436</v>
      </c>
      <c r="F8" s="313">
        <f aca="true" t="shared" si="0" ref="F8:F35">D8/C8*100</f>
        <v>103.87088063313357</v>
      </c>
      <c r="G8" s="313">
        <f aca="true" t="shared" si="1" ref="G8:G36">E8/D8*100</f>
        <v>108.42515748425157</v>
      </c>
    </row>
    <row r="9" spans="2:7" ht="12.75">
      <c r="B9" s="13" t="s">
        <v>506</v>
      </c>
      <c r="C9" s="312">
        <f>(Данные!C47+Данные!D47)/2</f>
        <v>58998</v>
      </c>
      <c r="D9" s="312">
        <f>(Данные!D47+Данные!E47)/2</f>
        <v>78680</v>
      </c>
      <c r="E9" s="312">
        <f>(Данные!E47+Данные!F47)/2</f>
        <v>95547.5</v>
      </c>
      <c r="F9" s="313">
        <f t="shared" si="0"/>
        <v>133.36045289670838</v>
      </c>
      <c r="G9" s="313">
        <f t="shared" si="1"/>
        <v>121.43810371123539</v>
      </c>
    </row>
    <row r="10" spans="2:7" ht="12.75">
      <c r="B10" s="13" t="s">
        <v>504</v>
      </c>
      <c r="C10" s="312">
        <f>(Данные!C15+Данные!D15)/2</f>
        <v>47625</v>
      </c>
      <c r="D10" s="312">
        <f>(Данные!D15+Данные!E15)/2</f>
        <v>61545</v>
      </c>
      <c r="E10" s="312">
        <f>(Данные!E15+Данные!F15)/2</f>
        <v>78531.5</v>
      </c>
      <c r="F10" s="313">
        <f t="shared" si="0"/>
        <v>129.22834645669292</v>
      </c>
      <c r="G10" s="313">
        <f t="shared" si="1"/>
        <v>127.60012998618897</v>
      </c>
    </row>
    <row r="11" spans="2:7" ht="22.5">
      <c r="B11" s="13" t="s">
        <v>507</v>
      </c>
      <c r="C11" s="312">
        <f>(Данные!C24+Данные!C30+Данные!D24+Данные!D30)/2</f>
        <v>8706</v>
      </c>
      <c r="D11" s="312">
        <f>(Данные!D24+Данные!D30+Данные!E24+Данные!E30)/2</f>
        <v>10684</v>
      </c>
      <c r="E11" s="312">
        <f>(Данные!E24+Данные!E30+Данные!F24+Данные!F30)/2</f>
        <v>11616.5</v>
      </c>
      <c r="F11" s="313">
        <f t="shared" si="0"/>
        <v>122.71996324373995</v>
      </c>
      <c r="G11" s="313">
        <f t="shared" si="1"/>
        <v>108.72800449269937</v>
      </c>
    </row>
    <row r="12" spans="2:7" ht="22.5">
      <c r="B12" s="13" t="s">
        <v>508</v>
      </c>
      <c r="C12" s="312">
        <f>(Данные!C37+Данные!C41+Данные!D37+Данные!D41)/2</f>
        <v>382</v>
      </c>
      <c r="D12" s="312">
        <f>(Данные!D37+Данные!D41+Данные!E37+Данные!E41)/2</f>
        <v>4222.5</v>
      </c>
      <c r="E12" s="312">
        <f>(Данные!E37+Данные!E41+Данные!F37+Данные!F41)/2</f>
        <v>4387.5</v>
      </c>
      <c r="F12" s="313">
        <f t="shared" si="0"/>
        <v>1105.3664921465968</v>
      </c>
      <c r="G12" s="313">
        <f t="shared" si="1"/>
        <v>103.90763765541742</v>
      </c>
    </row>
    <row r="13" spans="2:7" ht="22.5">
      <c r="B13" s="13" t="s">
        <v>509</v>
      </c>
      <c r="C13" s="312">
        <f>(Данные!C93+Данные!D93)/2</f>
        <v>22710.5</v>
      </c>
      <c r="D13" s="312">
        <f>(Данные!D93+Данные!E93)/2</f>
        <v>18732</v>
      </c>
      <c r="E13" s="312">
        <f>(Данные!E93+Данные!F93)/2</f>
        <v>13736</v>
      </c>
      <c r="F13" s="313">
        <f t="shared" si="0"/>
        <v>82.48167147354748</v>
      </c>
      <c r="G13" s="313">
        <f t="shared" si="1"/>
        <v>73.32906256673073</v>
      </c>
    </row>
    <row r="14" spans="2:7" ht="12.75">
      <c r="B14" s="13" t="s">
        <v>510</v>
      </c>
      <c r="C14" s="312">
        <f>(Данные!C83+Данные!C90+Данные!D83+Данные!D90)/2</f>
        <v>3648</v>
      </c>
      <c r="D14" s="312">
        <f>(Данные!D83+Данные!E83+Данные!D90+Данные!E90)/2</f>
        <v>15755</v>
      </c>
      <c r="E14" s="312">
        <f>(Данные!E83+Данные!F83+Данные!E90+Данные!F90)/2</f>
        <v>20969.5</v>
      </c>
      <c r="F14" s="313">
        <f t="shared" si="0"/>
        <v>431.8804824561403</v>
      </c>
      <c r="G14" s="313">
        <f t="shared" si="1"/>
        <v>133.09742938749602</v>
      </c>
    </row>
    <row r="15" spans="2:7" ht="22.5">
      <c r="B15" s="13" t="s">
        <v>511</v>
      </c>
      <c r="C15" s="312">
        <f>('2003'!C84+'2003'!D84)/2</f>
        <v>32001.5</v>
      </c>
      <c r="D15" s="312">
        <f>('2004'!C84+'2004'!D84)/2</f>
        <v>39778.5</v>
      </c>
      <c r="E15" s="312">
        <f>('2005'!C84+'2005'!D84)/2</f>
        <v>37113.5</v>
      </c>
      <c r="F15" s="313">
        <f t="shared" si="0"/>
        <v>124.30198584441354</v>
      </c>
      <c r="G15" s="313">
        <f t="shared" si="1"/>
        <v>93.30040097037345</v>
      </c>
    </row>
    <row r="16" spans="2:7" ht="12.75">
      <c r="B16" s="13" t="s">
        <v>512</v>
      </c>
      <c r="C16" s="312">
        <f>C6/C7</f>
        <v>0.4859583054618293</v>
      </c>
      <c r="D16" s="312">
        <f>D6/D7</f>
        <v>0.4586441574347269</v>
      </c>
      <c r="E16" s="312">
        <f>E6/E7</f>
        <v>0.8287099771901665</v>
      </c>
      <c r="F16" s="313">
        <f t="shared" si="0"/>
        <v>94.37932272787386</v>
      </c>
      <c r="G16" s="313">
        <f t="shared" si="1"/>
        <v>180.6869146279502</v>
      </c>
    </row>
    <row r="17" spans="2:7" ht="22.5">
      <c r="B17" s="13" t="s">
        <v>513</v>
      </c>
      <c r="C17" s="312">
        <f>360/C16</f>
        <v>740.8042952530153</v>
      </c>
      <c r="D17" s="312">
        <f>360/D16</f>
        <v>784.9222412720569</v>
      </c>
      <c r="E17" s="312">
        <f>360/E16</f>
        <v>434.41011923208663</v>
      </c>
      <c r="F17" s="313">
        <f t="shared" si="0"/>
        <v>105.95541174663052</v>
      </c>
      <c r="G17" s="313">
        <f t="shared" si="1"/>
        <v>55.344350865644344</v>
      </c>
    </row>
    <row r="18" spans="2:7" ht="22.5">
      <c r="B18" s="13" t="s">
        <v>7</v>
      </c>
      <c r="C18" s="312">
        <f>C6/C8</f>
        <v>0.6828515937392894</v>
      </c>
      <c r="D18" s="312">
        <f>D6/D8</f>
        <v>0.6590240975902409</v>
      </c>
      <c r="E18" s="312">
        <f>E6/E8</f>
        <v>1.13078682356413</v>
      </c>
      <c r="F18" s="313">
        <f t="shared" si="0"/>
        <v>96.51058936267992</v>
      </c>
      <c r="G18" s="313">
        <f t="shared" si="1"/>
        <v>171.58504942367304</v>
      </c>
    </row>
    <row r="19" spans="2:7" ht="12.75">
      <c r="B19" s="13" t="s">
        <v>514</v>
      </c>
      <c r="C19" s="312">
        <f>C6/C9</f>
        <v>1.114393708261297</v>
      </c>
      <c r="D19" s="312">
        <f>D6/D9</f>
        <v>0.8376842907981698</v>
      </c>
      <c r="E19" s="312">
        <f>E6/E9</f>
        <v>1.283319814751825</v>
      </c>
      <c r="F19" s="313">
        <f t="shared" si="0"/>
        <v>75.16951007423978</v>
      </c>
      <c r="G19" s="313">
        <f t="shared" si="1"/>
        <v>153.19850555261587</v>
      </c>
    </row>
    <row r="20" spans="2:7" ht="22.5">
      <c r="B20" s="13" t="s">
        <v>515</v>
      </c>
      <c r="C20" s="312">
        <f>360/C19</f>
        <v>323.0456142485589</v>
      </c>
      <c r="D20" s="312">
        <f>360/D19</f>
        <v>429.75617897404</v>
      </c>
      <c r="E20" s="312">
        <f>360/E19</f>
        <v>280.52243553148804</v>
      </c>
      <c r="F20" s="313">
        <f t="shared" si="0"/>
        <v>133.032661648635</v>
      </c>
      <c r="G20" s="313">
        <f t="shared" si="1"/>
        <v>65.27478818365829</v>
      </c>
    </row>
    <row r="21" spans="2:7" ht="15" customHeight="1">
      <c r="B21" s="13" t="s">
        <v>830</v>
      </c>
      <c r="C21" s="312">
        <f>C6/C10</f>
        <v>1.3805144356955381</v>
      </c>
      <c r="D21" s="312">
        <f>D6/D10</f>
        <v>1.0709074660817288</v>
      </c>
      <c r="E21" s="312">
        <f>E6/E10</f>
        <v>1.5613861953483634</v>
      </c>
      <c r="F21" s="313">
        <f t="shared" si="0"/>
        <v>77.57307264535619</v>
      </c>
      <c r="G21" s="313">
        <f t="shared" si="1"/>
        <v>145.80029038934748</v>
      </c>
    </row>
    <row r="22" spans="2:7" ht="13.5" customHeight="1">
      <c r="B22" s="13" t="s">
        <v>516</v>
      </c>
      <c r="C22" s="312">
        <f>360/C21</f>
        <v>260.7723546321505</v>
      </c>
      <c r="D22" s="312">
        <f>360/D21</f>
        <v>336.16349815654917</v>
      </c>
      <c r="E22" s="312">
        <f>360/E21</f>
        <v>230.56435433623122</v>
      </c>
      <c r="F22" s="313">
        <f t="shared" si="0"/>
        <v>128.91071165528516</v>
      </c>
      <c r="G22" s="313">
        <f t="shared" si="1"/>
        <v>68.58696901971757</v>
      </c>
    </row>
    <row r="23" spans="2:7" ht="22.5">
      <c r="B23" s="13" t="s">
        <v>517</v>
      </c>
      <c r="C23" s="312">
        <f>C6/C11</f>
        <v>7.551918217321387</v>
      </c>
      <c r="D23" s="312">
        <f>D6/D11</f>
        <v>6.168944215649569</v>
      </c>
      <c r="E23" s="312">
        <f>E6/E11</f>
        <v>10.555502948392373</v>
      </c>
      <c r="F23" s="313">
        <f t="shared" si="0"/>
        <v>81.68711628126782</v>
      </c>
      <c r="G23" s="313">
        <f t="shared" si="1"/>
        <v>171.10712270042654</v>
      </c>
    </row>
    <row r="24" spans="2:7" ht="22.5">
      <c r="B24" s="13" t="s">
        <v>518</v>
      </c>
      <c r="C24" s="312">
        <f>360/C23</f>
        <v>47.67000775700792</v>
      </c>
      <c r="D24" s="312">
        <f>360/D23</f>
        <v>58.35682531975907</v>
      </c>
      <c r="E24" s="312">
        <f>360/E23</f>
        <v>34.105433133797646</v>
      </c>
      <c r="F24" s="313">
        <f t="shared" si="0"/>
        <v>122.41832562148069</v>
      </c>
      <c r="G24" s="313">
        <f t="shared" si="1"/>
        <v>58.44292068137893</v>
      </c>
    </row>
    <row r="25" spans="2:7" ht="24.75" customHeight="1">
      <c r="B25" s="13" t="s">
        <v>519</v>
      </c>
      <c r="C25" s="312">
        <f>C6/C12</f>
        <v>172.11256544502618</v>
      </c>
      <c r="D25" s="312">
        <f>D6/D12</f>
        <v>15.60899940793369</v>
      </c>
      <c r="E25" s="312">
        <f>E6/E12</f>
        <v>27.947122507122508</v>
      </c>
      <c r="F25" s="313">
        <f t="shared" si="0"/>
        <v>9.06906440420197</v>
      </c>
      <c r="G25" s="313">
        <f t="shared" si="1"/>
        <v>179.04493284122773</v>
      </c>
    </row>
    <row r="26" spans="2:7" ht="33.75">
      <c r="B26" s="13" t="s">
        <v>520</v>
      </c>
      <c r="C26" s="312">
        <f>360/C25</f>
        <v>2.0916543720626035</v>
      </c>
      <c r="D26" s="312">
        <f>360/D25</f>
        <v>23.063618018783473</v>
      </c>
      <c r="E26" s="312">
        <f>360/E25</f>
        <v>12.881469278572476</v>
      </c>
      <c r="F26" s="313">
        <f t="shared" si="0"/>
        <v>1102.6495737935988</v>
      </c>
      <c r="G26" s="313">
        <f t="shared" si="1"/>
        <v>55.8519017618205</v>
      </c>
    </row>
    <row r="27" spans="2:7" ht="22.5">
      <c r="B27" s="13" t="s">
        <v>521</v>
      </c>
      <c r="C27" s="312">
        <f>C6/C13</f>
        <v>2.895004513330838</v>
      </c>
      <c r="D27" s="312">
        <f>D6/D13</f>
        <v>3.5185244501387998</v>
      </c>
      <c r="E27" s="312">
        <f>E6/E13</f>
        <v>8.926761793826442</v>
      </c>
      <c r="F27" s="313">
        <f t="shared" si="0"/>
        <v>121.5377880737938</v>
      </c>
      <c r="G27" s="313">
        <f t="shared" si="1"/>
        <v>253.7075390644023</v>
      </c>
    </row>
    <row r="28" spans="2:7" ht="22.5">
      <c r="B28" s="13" t="s">
        <v>522</v>
      </c>
      <c r="C28" s="312">
        <f>360/C27</f>
        <v>124.35213774012503</v>
      </c>
      <c r="D28" s="312">
        <f>360/D27</f>
        <v>102.31561698705792</v>
      </c>
      <c r="E28" s="312">
        <f>360/E27</f>
        <v>40.32817367760035</v>
      </c>
      <c r="F28" s="313">
        <f t="shared" si="0"/>
        <v>82.27893693382279</v>
      </c>
      <c r="G28" s="313">
        <f t="shared" si="1"/>
        <v>39.4154625316891</v>
      </c>
    </row>
    <row r="29" spans="2:7" ht="15.75" customHeight="1">
      <c r="B29" s="13" t="s">
        <v>523</v>
      </c>
      <c r="C29" s="312">
        <f>C6/C14</f>
        <v>18.022752192982455</v>
      </c>
      <c r="D29" s="312">
        <f>D6/D14</f>
        <v>4.183370358616313</v>
      </c>
      <c r="E29" s="312">
        <f>E6/E14</f>
        <v>5.8474450988340205</v>
      </c>
      <c r="F29" s="313">
        <f t="shared" si="0"/>
        <v>23.211606717009612</v>
      </c>
      <c r="G29" s="313">
        <f t="shared" si="1"/>
        <v>139.77832698437237</v>
      </c>
    </row>
    <row r="30" spans="2:7" ht="22.5">
      <c r="B30" s="13" t="s">
        <v>524</v>
      </c>
      <c r="C30" s="312">
        <f>360/C29</f>
        <v>19.974751699697325</v>
      </c>
      <c r="D30" s="312">
        <f>360/D29</f>
        <v>86.05501524829688</v>
      </c>
      <c r="E30" s="312">
        <f>360/E29</f>
        <v>61.56534929618817</v>
      </c>
      <c r="F30" s="313">
        <f t="shared" si="0"/>
        <v>430.81894855093924</v>
      </c>
      <c r="G30" s="313">
        <f t="shared" si="1"/>
        <v>71.54184926764813</v>
      </c>
    </row>
    <row r="31" spans="2:7" ht="22.5">
      <c r="B31" s="13" t="s">
        <v>525</v>
      </c>
      <c r="C31" s="312">
        <f>C6/C15</f>
        <v>2.0544974454322453</v>
      </c>
      <c r="D31" s="312">
        <f>D6/D15</f>
        <v>1.656900084216348</v>
      </c>
      <c r="E31" s="312">
        <f>E6/E15</f>
        <v>3.3038651703558006</v>
      </c>
      <c r="F31" s="313">
        <f t="shared" si="0"/>
        <v>80.64746383112455</v>
      </c>
      <c r="G31" s="313">
        <f t="shared" si="1"/>
        <v>199.4003864100475</v>
      </c>
    </row>
    <row r="32" spans="2:7" ht="26.25" customHeight="1">
      <c r="B32" s="13" t="s">
        <v>526</v>
      </c>
      <c r="C32" s="312">
        <f>360/C31</f>
        <v>175.22533347529165</v>
      </c>
      <c r="D32" s="312">
        <f>360/D31</f>
        <v>217.27321003201385</v>
      </c>
      <c r="E32" s="312">
        <f>360/E31</f>
        <v>108.96328434650704</v>
      </c>
      <c r="F32" s="313">
        <f t="shared" si="0"/>
        <v>123.99645971434339</v>
      </c>
      <c r="G32" s="313">
        <f t="shared" si="1"/>
        <v>50.15035416950483</v>
      </c>
    </row>
    <row r="33" spans="2:7" ht="12.75">
      <c r="B33" s="13" t="s">
        <v>794</v>
      </c>
      <c r="C33" s="312">
        <f>C22+C24</f>
        <v>308.4423623891584</v>
      </c>
      <c r="D33" s="312">
        <f>D22+D24</f>
        <v>394.52032347630825</v>
      </c>
      <c r="E33" s="312">
        <f>E22+E24</f>
        <v>264.66978747002884</v>
      </c>
      <c r="F33" s="313">
        <f t="shared" si="0"/>
        <v>127.90730832833728</v>
      </c>
      <c r="G33" s="313">
        <f t="shared" si="1"/>
        <v>67.0864773550564</v>
      </c>
    </row>
    <row r="34" spans="2:7" ht="12.75">
      <c r="B34" s="13" t="s">
        <v>796</v>
      </c>
      <c r="C34" s="312">
        <f>C33-C28</f>
        <v>184.09022464903336</v>
      </c>
      <c r="D34" s="312">
        <f>D33-D28</f>
        <v>292.2047064892503</v>
      </c>
      <c r="E34" s="312">
        <f>E33-E28</f>
        <v>224.3416137924285</v>
      </c>
      <c r="F34" s="313">
        <f t="shared" si="0"/>
        <v>158.7290726850578</v>
      </c>
      <c r="G34" s="313">
        <f t="shared" si="1"/>
        <v>76.77549635932425</v>
      </c>
    </row>
    <row r="35" spans="2:7" ht="12.75">
      <c r="B35" s="13" t="s">
        <v>803</v>
      </c>
      <c r="C35" s="312">
        <f>Данные!C63</f>
        <v>775</v>
      </c>
      <c r="D35" s="312">
        <f>Данные!D63</f>
        <v>776</v>
      </c>
      <c r="E35" s="312">
        <f>Данные!E63</f>
        <v>777</v>
      </c>
      <c r="F35" s="313">
        <f t="shared" si="0"/>
        <v>100.12903225806451</v>
      </c>
      <c r="G35" s="313">
        <f t="shared" si="1"/>
        <v>100.12886597938144</v>
      </c>
    </row>
    <row r="36" spans="2:7" ht="12.75">
      <c r="B36" s="13" t="s">
        <v>819</v>
      </c>
      <c r="C36" s="312">
        <f>C6/C35</f>
        <v>84.83483870967741</v>
      </c>
      <c r="D36" s="312">
        <f>D6/D35</f>
        <v>84.93427835051547</v>
      </c>
      <c r="E36" s="312">
        <f>E6/E35</f>
        <v>157.8095238095238</v>
      </c>
      <c r="F36" s="313">
        <f>D36/C36*100</f>
        <v>100.11721557128004</v>
      </c>
      <c r="G36" s="313">
        <f t="shared" si="1"/>
        <v>185.80192458721942</v>
      </c>
    </row>
    <row r="38" spans="2:7" ht="21" customHeight="1">
      <c r="B38" s="663" t="s">
        <v>795</v>
      </c>
      <c r="C38" s="665"/>
      <c r="D38" s="665"/>
      <c r="E38" s="665"/>
      <c r="F38" s="665"/>
      <c r="G38" s="665"/>
    </row>
    <row r="39" spans="2:7" ht="12.75" customHeight="1">
      <c r="B39" s="663" t="s">
        <v>799</v>
      </c>
      <c r="C39" s="664"/>
      <c r="D39" s="664"/>
      <c r="E39" s="664"/>
      <c r="F39" s="664"/>
      <c r="G39" s="664"/>
    </row>
    <row r="42" spans="2:7" ht="32.25" customHeight="1">
      <c r="B42" s="656" t="s">
        <v>312</v>
      </c>
      <c r="C42" s="656" t="s">
        <v>313</v>
      </c>
      <c r="D42" s="656"/>
      <c r="E42" s="656"/>
      <c r="F42" s="662" t="s">
        <v>527</v>
      </c>
      <c r="G42" s="662"/>
    </row>
    <row r="43" spans="2:7" ht="22.5" customHeight="1">
      <c r="B43" s="656"/>
      <c r="C43" s="43">
        <v>2003</v>
      </c>
      <c r="D43" s="43">
        <v>2004</v>
      </c>
      <c r="E43" s="43">
        <v>2005</v>
      </c>
      <c r="F43" s="43">
        <v>2004</v>
      </c>
      <c r="G43" s="43">
        <v>2005</v>
      </c>
    </row>
    <row r="44" spans="2:7" ht="12.75">
      <c r="B44" s="13" t="s">
        <v>822</v>
      </c>
      <c r="C44" s="312">
        <f>Данные!C114</f>
        <v>55674</v>
      </c>
      <c r="D44" s="312">
        <f>Данные!D114</f>
        <v>56337</v>
      </c>
      <c r="E44" s="312">
        <f>Данные!E114</f>
        <v>94308</v>
      </c>
      <c r="F44" s="313">
        <f aca="true" t="shared" si="2" ref="F44:G50">D44/C44*100</f>
        <v>101.19086108416855</v>
      </c>
      <c r="G44" s="313">
        <f t="shared" si="2"/>
        <v>167.3997550455296</v>
      </c>
    </row>
    <row r="45" spans="2:7" ht="12.75">
      <c r="B45" s="13" t="s">
        <v>823</v>
      </c>
      <c r="C45" s="312">
        <f>(Данные!C19+Данные!D19)/2</f>
        <v>16823.5</v>
      </c>
      <c r="D45" s="312">
        <f>(Данные!D19+Данные!E19)/2</f>
        <v>18793</v>
      </c>
      <c r="E45" s="312">
        <f>(Данные!E19+Данные!F19)/2</f>
        <v>24468</v>
      </c>
      <c r="F45" s="313">
        <f t="shared" si="2"/>
        <v>111.70683864831932</v>
      </c>
      <c r="G45" s="313">
        <f t="shared" si="2"/>
        <v>130.19741393071888</v>
      </c>
    </row>
    <row r="46" spans="2:7" ht="12.75">
      <c r="B46" s="13" t="s">
        <v>824</v>
      </c>
      <c r="C46" s="312">
        <f>(Данные!C15+Данные!D15)/2</f>
        <v>47625</v>
      </c>
      <c r="D46" s="312">
        <f>(Данные!D15+Данные!E15)/2</f>
        <v>61545</v>
      </c>
      <c r="E46" s="312">
        <f>(Данные!E15+Данные!F15)/2</f>
        <v>78531.5</v>
      </c>
      <c r="F46" s="313">
        <f t="shared" si="2"/>
        <v>129.22834645669292</v>
      </c>
      <c r="G46" s="313">
        <f t="shared" si="2"/>
        <v>127.60012998618897</v>
      </c>
    </row>
    <row r="47" spans="2:7" ht="22.5">
      <c r="B47" s="13" t="s">
        <v>826</v>
      </c>
      <c r="C47" s="312">
        <f>C44/C45</f>
        <v>3.3092994917823284</v>
      </c>
      <c r="D47" s="312">
        <f>D44/D45</f>
        <v>2.9977651253126165</v>
      </c>
      <c r="E47" s="312">
        <f>E44/E45</f>
        <v>3.8543403629230015</v>
      </c>
      <c r="F47" s="313">
        <f t="shared" si="2"/>
        <v>90.58609330333154</v>
      </c>
      <c r="G47" s="313">
        <f t="shared" si="2"/>
        <v>128.57379420347544</v>
      </c>
    </row>
    <row r="48" spans="2:7" ht="22.5">
      <c r="B48" s="13" t="s">
        <v>827</v>
      </c>
      <c r="C48" s="312">
        <f>C44/C46</f>
        <v>1.1690078740157481</v>
      </c>
      <c r="D48" s="312">
        <f>D44/D46</f>
        <v>0.9153789909822081</v>
      </c>
      <c r="E48" s="312">
        <f>E44/E46</f>
        <v>1.2008939088136608</v>
      </c>
      <c r="F48" s="313">
        <f t="shared" si="2"/>
        <v>78.3039200444151</v>
      </c>
      <c r="G48" s="313">
        <f t="shared" si="2"/>
        <v>131.1908969557072</v>
      </c>
    </row>
    <row r="49" spans="2:7" ht="22.5">
      <c r="B49" s="13" t="s">
        <v>825</v>
      </c>
      <c r="C49" s="312">
        <f aca="true" t="shared" si="3" ref="C49:E50">360/C47</f>
        <v>108.78435176204331</v>
      </c>
      <c r="D49" s="312">
        <f t="shared" si="3"/>
        <v>120.0894616326748</v>
      </c>
      <c r="E49" s="312">
        <f t="shared" si="3"/>
        <v>93.40119608092633</v>
      </c>
      <c r="F49" s="313">
        <f t="shared" si="2"/>
        <v>110.39222065261782</v>
      </c>
      <c r="G49" s="313">
        <f t="shared" si="2"/>
        <v>77.77634674274621</v>
      </c>
    </row>
    <row r="50" spans="2:7" ht="22.5">
      <c r="B50" s="13" t="s">
        <v>828</v>
      </c>
      <c r="C50" s="312">
        <f t="shared" si="3"/>
        <v>307.95344325897184</v>
      </c>
      <c r="D50" s="312">
        <f t="shared" si="3"/>
        <v>393.27972735502425</v>
      </c>
      <c r="E50" s="312">
        <f t="shared" si="3"/>
        <v>299.7766891462018</v>
      </c>
      <c r="F50" s="313">
        <f t="shared" si="2"/>
        <v>127.70752721355277</v>
      </c>
      <c r="G50" s="313">
        <f t="shared" si="2"/>
        <v>76.22480089739925</v>
      </c>
    </row>
  </sheetData>
  <sheetProtection/>
  <mergeCells count="8">
    <mergeCell ref="B42:B43"/>
    <mergeCell ref="C42:E42"/>
    <mergeCell ref="F42:G42"/>
    <mergeCell ref="B39:G39"/>
    <mergeCell ref="F4:G4"/>
    <mergeCell ref="B4:B5"/>
    <mergeCell ref="C4:E4"/>
    <mergeCell ref="B38:G38"/>
  </mergeCells>
  <printOptions/>
  <pageMargins left="0.75" right="0.75" top="1" bottom="1" header="0.5" footer="0.5"/>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dimension ref="A1:J394"/>
  <sheetViews>
    <sheetView zoomScalePageLayoutView="0" workbookViewId="0" topLeftCell="A28">
      <selection activeCell="A26" sqref="A26:J26"/>
    </sheetView>
  </sheetViews>
  <sheetFormatPr defaultColWidth="9.00390625" defaultRowHeight="12.75"/>
  <cols>
    <col min="1" max="1" width="30.625" style="0" customWidth="1"/>
    <col min="2" max="2" width="11.25390625" style="0" customWidth="1"/>
    <col min="3" max="3" width="11.875" style="0" customWidth="1"/>
    <col min="4" max="4" width="12.00390625" style="0" customWidth="1"/>
    <col min="5" max="5" width="13.00390625" style="0" customWidth="1"/>
    <col min="6" max="6" width="13.375" style="0" customWidth="1"/>
    <col min="7" max="7" width="9.875" style="0" customWidth="1"/>
    <col min="8" max="8" width="9.25390625" style="0" customWidth="1"/>
    <col min="9" max="9" width="9.375" style="0" bestFit="1" customWidth="1"/>
    <col min="10" max="10" width="10.375" style="0" customWidth="1"/>
  </cols>
  <sheetData>
    <row r="1" spans="1:10" ht="12.75">
      <c r="A1" s="666" t="s">
        <v>886</v>
      </c>
      <c r="B1" s="667"/>
      <c r="C1" s="667"/>
      <c r="D1" s="667"/>
      <c r="E1" s="667"/>
      <c r="F1" s="667"/>
      <c r="G1" s="667"/>
      <c r="H1" s="667"/>
      <c r="I1" s="667"/>
      <c r="J1" s="667"/>
    </row>
    <row r="3" spans="1:10" ht="12.75">
      <c r="A3" s="203" t="s">
        <v>318</v>
      </c>
      <c r="B3" s="668" t="s">
        <v>887</v>
      </c>
      <c r="C3" s="669"/>
      <c r="D3" s="669"/>
      <c r="E3" s="204"/>
      <c r="F3" s="670" t="s">
        <v>888</v>
      </c>
      <c r="G3" s="672" t="s">
        <v>889</v>
      </c>
      <c r="H3" s="673"/>
      <c r="I3" s="673"/>
      <c r="J3" s="674"/>
    </row>
    <row r="4" spans="1:10" ht="22.5">
      <c r="A4" s="205"/>
      <c r="B4" s="206">
        <v>2002</v>
      </c>
      <c r="C4" s="206">
        <v>2003</v>
      </c>
      <c r="D4" s="206">
        <v>2004</v>
      </c>
      <c r="E4" s="207" t="s">
        <v>890</v>
      </c>
      <c r="F4" s="671"/>
      <c r="G4" s="208">
        <v>2002</v>
      </c>
      <c r="H4" s="208">
        <v>2003</v>
      </c>
      <c r="I4" s="208">
        <v>2004</v>
      </c>
      <c r="J4" s="207" t="s">
        <v>890</v>
      </c>
    </row>
    <row r="5" spans="1:10" ht="12.75">
      <c r="A5" s="196" t="s">
        <v>891</v>
      </c>
      <c r="B5" s="675">
        <f>'Ф4'!C6</f>
        <v>564</v>
      </c>
      <c r="C5" s="675">
        <f>'Ф4'!D6</f>
        <v>200</v>
      </c>
      <c r="D5" s="675">
        <f>'Ф4'!E6</f>
        <v>8245</v>
      </c>
      <c r="E5" s="675">
        <f>D5-B5</f>
        <v>7681</v>
      </c>
      <c r="F5" s="675">
        <f>D5/B5*100</f>
        <v>1461.8794326241134</v>
      </c>
      <c r="G5" s="675"/>
      <c r="H5" s="675"/>
      <c r="I5" s="675"/>
      <c r="J5" s="675"/>
    </row>
    <row r="6" spans="1:10" ht="12.75">
      <c r="A6" s="198" t="s">
        <v>352</v>
      </c>
      <c r="B6" s="675"/>
      <c r="C6" s="675"/>
      <c r="D6" s="675"/>
      <c r="E6" s="675"/>
      <c r="F6" s="675"/>
      <c r="G6" s="675"/>
      <c r="H6" s="675"/>
      <c r="I6" s="675"/>
      <c r="J6" s="675"/>
    </row>
    <row r="7" spans="1:10" ht="12.75">
      <c r="A7" s="196" t="s">
        <v>892</v>
      </c>
      <c r="B7" s="675">
        <f>B10+B11+B12</f>
        <v>83331</v>
      </c>
      <c r="C7" s="675">
        <f>C10+C11+C12</f>
        <v>123082</v>
      </c>
      <c r="D7" s="675">
        <f>D10+D11+D12</f>
        <v>127413</v>
      </c>
      <c r="E7" s="675">
        <f>D7-B7</f>
        <v>44082</v>
      </c>
      <c r="F7" s="675">
        <f>D7/B7*100</f>
        <v>152.8998811966735</v>
      </c>
      <c r="G7" s="675">
        <v>100</v>
      </c>
      <c r="H7" s="675">
        <v>100</v>
      </c>
      <c r="I7" s="675">
        <v>100</v>
      </c>
      <c r="J7" s="675"/>
    </row>
    <row r="8" spans="1:10" ht="12.75">
      <c r="A8" s="198" t="s">
        <v>893</v>
      </c>
      <c r="B8" s="675"/>
      <c r="C8" s="675"/>
      <c r="D8" s="675"/>
      <c r="E8" s="675"/>
      <c r="F8" s="675"/>
      <c r="G8" s="675"/>
      <c r="H8" s="675"/>
      <c r="I8" s="675"/>
      <c r="J8" s="675"/>
    </row>
    <row r="9" spans="1:10" ht="12.75">
      <c r="A9" s="199" t="s">
        <v>894</v>
      </c>
      <c r="B9" s="211"/>
      <c r="C9" s="211"/>
      <c r="D9" s="211"/>
      <c r="E9" s="211"/>
      <c r="F9" s="211"/>
      <c r="G9" s="211"/>
      <c r="H9" s="211"/>
      <c r="I9" s="211"/>
      <c r="J9" s="211"/>
    </row>
    <row r="10" spans="1:10" ht="12.75">
      <c r="A10" s="199" t="s">
        <v>895</v>
      </c>
      <c r="B10" s="211">
        <f>'Ф4'!C7+'Ф4'!C9+'Ф4'!C10+'Ф4'!C11</f>
        <v>65331</v>
      </c>
      <c r="C10" s="211">
        <f>'Ф4'!D7+'Ф4'!D9+'Ф4'!D10+'Ф4'!D11</f>
        <v>103082</v>
      </c>
      <c r="D10" s="211">
        <f>'Ф4'!E7+'Ф4'!E9+'Ф4'!E10+'Ф4'!E11</f>
        <v>121086</v>
      </c>
      <c r="E10" s="211">
        <f>D10-B10</f>
        <v>55755</v>
      </c>
      <c r="F10" s="211">
        <f>D10/B10*100</f>
        <v>185.3423336547734</v>
      </c>
      <c r="G10" s="211">
        <f>B10/B7*G7</f>
        <v>78.39939518306512</v>
      </c>
      <c r="H10" s="211">
        <f>C10/C7*H7</f>
        <v>83.75067028485074</v>
      </c>
      <c r="I10" s="211">
        <f>D10/D7*I7</f>
        <v>95.03425867062231</v>
      </c>
      <c r="J10" s="211">
        <f>I10-G10</f>
        <v>16.634863487557183</v>
      </c>
    </row>
    <row r="11" spans="1:10" ht="12.75">
      <c r="A11" s="199" t="s">
        <v>896</v>
      </c>
      <c r="B11" s="211">
        <f>'Ф4'!C22+'Ф4'!C26+'Ф4'!C28+'Ф4'!C29+'Ф4'!C30</f>
        <v>0</v>
      </c>
      <c r="C11" s="211">
        <f>'Ф4'!D22+'Ф4'!D26+'Ф4'!D28+'Ф4'!D29+'Ф4'!D30</f>
        <v>0</v>
      </c>
      <c r="D11" s="211">
        <f>'Ф4'!E22+'Ф4'!E26+'Ф4'!E28+'Ф4'!E29+'Ф4'!E30</f>
        <v>0</v>
      </c>
      <c r="E11" s="211">
        <f>D11-B11</f>
        <v>0</v>
      </c>
      <c r="F11" s="211" t="e">
        <f>D11/B11*100</f>
        <v>#DIV/0!</v>
      </c>
      <c r="G11" s="211">
        <f>B11/B7*100</f>
        <v>0</v>
      </c>
      <c r="H11" s="211">
        <f>C11/C7*100</f>
        <v>0</v>
      </c>
      <c r="I11" s="211">
        <f>D11/D7*100</f>
        <v>0</v>
      </c>
      <c r="J11" s="211">
        <f>I11-G11</f>
        <v>0</v>
      </c>
    </row>
    <row r="12" spans="1:10" ht="12.75">
      <c r="A12" s="199" t="s">
        <v>897</v>
      </c>
      <c r="B12" s="211">
        <f>'Ф4'!C40+'Ф4'!C43</f>
        <v>18000</v>
      </c>
      <c r="C12" s="211">
        <f>'Ф4'!D40+'Ф4'!D43</f>
        <v>20000</v>
      </c>
      <c r="D12" s="211">
        <f>'Ф4'!E40+'Ф4'!E43</f>
        <v>6327</v>
      </c>
      <c r="E12" s="211">
        <f>D12-B12</f>
        <v>-11673</v>
      </c>
      <c r="F12" s="211">
        <f>D12/B12*100</f>
        <v>35.15</v>
      </c>
      <c r="G12" s="211">
        <f>B12/B7*G7</f>
        <v>21.600604816934872</v>
      </c>
      <c r="H12" s="211">
        <f>C12/C7*H7</f>
        <v>16.249329715149248</v>
      </c>
      <c r="I12" s="211">
        <f>D12/D7*I7</f>
        <v>4.965741329377693</v>
      </c>
      <c r="J12" s="211">
        <f>I12-G12</f>
        <v>-16.63486348755718</v>
      </c>
    </row>
    <row r="13" spans="1:10" ht="12.75">
      <c r="A13" s="196" t="s">
        <v>898</v>
      </c>
      <c r="B13" s="675">
        <f>'Ф4'!C12+'Ф4'!C32+'Ф4'!C33+'Ф4'!C36+'Ф4'!C37+'Ф4'!C45+'Ф4'!C46+'Ф4'!C47</f>
        <v>83695</v>
      </c>
      <c r="C13" s="675">
        <f>'Ф4'!D12+'Ф4'!D32+'Ф4'!D33+'Ф4'!D36+'Ф4'!D37+'Ф4'!D45+'Ф4'!D46+'Ф4'!D47</f>
        <v>115037</v>
      </c>
      <c r="D13" s="675">
        <f>'Ф4'!E12+'Ф4'!E32+'Ф4'!E33+'Ф4'!E36+'Ф4'!E37+'Ф4'!E45+'Ф4'!E46+'Ф4'!E47</f>
        <v>135128</v>
      </c>
      <c r="E13" s="675">
        <f>D13-B13</f>
        <v>51433</v>
      </c>
      <c r="F13" s="675">
        <f>D13/B13*100</f>
        <v>161.4528944381385</v>
      </c>
      <c r="G13" s="675">
        <v>100</v>
      </c>
      <c r="H13" s="675">
        <v>100</v>
      </c>
      <c r="I13" s="675">
        <v>100</v>
      </c>
      <c r="J13" s="675"/>
    </row>
    <row r="14" spans="1:10" ht="12.75">
      <c r="A14" s="198" t="s">
        <v>893</v>
      </c>
      <c r="B14" s="675"/>
      <c r="C14" s="675"/>
      <c r="D14" s="675"/>
      <c r="E14" s="675"/>
      <c r="F14" s="675"/>
      <c r="G14" s="675"/>
      <c r="H14" s="675"/>
      <c r="I14" s="675"/>
      <c r="J14" s="675"/>
    </row>
    <row r="15" spans="1:10" ht="12.75">
      <c r="A15" s="199" t="s">
        <v>894</v>
      </c>
      <c r="B15" s="211"/>
      <c r="C15" s="211"/>
      <c r="D15" s="211"/>
      <c r="E15" s="211"/>
      <c r="F15" s="211"/>
      <c r="G15" s="211"/>
      <c r="H15" s="211"/>
      <c r="I15" s="211"/>
      <c r="J15" s="211"/>
    </row>
    <row r="16" spans="1:10" ht="12.75">
      <c r="A16" s="199" t="s">
        <v>895</v>
      </c>
      <c r="B16" s="211">
        <f>'Ф4'!C12</f>
        <v>69695</v>
      </c>
      <c r="C16" s="211">
        <f>'Ф4'!D12</f>
        <v>103785</v>
      </c>
      <c r="D16" s="211">
        <f>'Ф4'!E12</f>
        <v>127943</v>
      </c>
      <c r="E16" s="211">
        <f>D16-B16</f>
        <v>58248</v>
      </c>
      <c r="F16" s="211">
        <f>D16/B16*100</f>
        <v>183.57557930985007</v>
      </c>
      <c r="G16" s="211">
        <f>B16/B13*G13</f>
        <v>83.27259692932672</v>
      </c>
      <c r="H16" s="211">
        <f>C16/C13*H13</f>
        <v>90.21879916896303</v>
      </c>
      <c r="I16" s="211">
        <f>D16/D13*I13</f>
        <v>94.68281925285655</v>
      </c>
      <c r="J16" s="211">
        <f>I16-G16</f>
        <v>11.410222323529823</v>
      </c>
    </row>
    <row r="17" spans="1:10" ht="12.75">
      <c r="A17" s="199" t="s">
        <v>896</v>
      </c>
      <c r="B17" s="211">
        <f>'Ф4'!C32+'Ф4'!C33+'Ф4'!C36+'Ф4'!C37</f>
        <v>2000</v>
      </c>
      <c r="C17" s="211">
        <f>'Ф4'!D32+'Ф4'!D33+'Ф4'!D36+'Ф4'!D37</f>
        <v>10354</v>
      </c>
      <c r="D17" s="211">
        <f>'Ф4'!E32+'Ф4'!E33+'Ф4'!E36+'Ф4'!E37</f>
        <v>7185</v>
      </c>
      <c r="E17" s="211">
        <f>D17-B17</f>
        <v>5185</v>
      </c>
      <c r="F17" s="211">
        <f>D17/B17*100</f>
        <v>359.25</v>
      </c>
      <c r="G17" s="211">
        <f>B17/B13*G13</f>
        <v>2.389629010096183</v>
      </c>
      <c r="H17" s="211">
        <f>C17/C13*H13</f>
        <v>9.000582421307927</v>
      </c>
      <c r="I17" s="211">
        <f>D17/D13*I13</f>
        <v>5.317180747143449</v>
      </c>
      <c r="J17" s="211">
        <f>I17-G17</f>
        <v>2.927551737047266</v>
      </c>
    </row>
    <row r="18" spans="1:10" ht="12.75">
      <c r="A18" s="199" t="s">
        <v>897</v>
      </c>
      <c r="B18" s="211">
        <f>'Ф4'!C45+'Ф4'!C46</f>
        <v>12000</v>
      </c>
      <c r="C18" s="211">
        <f>'Ф4'!D45+'Ф4'!D46</f>
        <v>898</v>
      </c>
      <c r="D18" s="211">
        <f>'Ф4'!E45+'Ф4'!E46</f>
        <v>0</v>
      </c>
      <c r="E18" s="211">
        <f>D18-B18</f>
        <v>-12000</v>
      </c>
      <c r="F18" s="211">
        <f>D18/B18*100</f>
        <v>0</v>
      </c>
      <c r="G18" s="211">
        <f>B18/B13*G13</f>
        <v>14.337774060577097</v>
      </c>
      <c r="H18" s="211">
        <f>C18/C13*H13</f>
        <v>0.7806184097290437</v>
      </c>
      <c r="I18" s="211">
        <f>D18/D13*I13</f>
        <v>0</v>
      </c>
      <c r="J18" s="211">
        <f>I18-G18</f>
        <v>-14.337774060577097</v>
      </c>
    </row>
    <row r="19" spans="1:10" ht="12.75">
      <c r="A19" s="196" t="s">
        <v>923</v>
      </c>
      <c r="B19" s="675">
        <f>'Ф4'!C51</f>
        <v>200</v>
      </c>
      <c r="C19" s="675">
        <f>'Ф4'!D51</f>
        <v>8245</v>
      </c>
      <c r="D19" s="675">
        <f>'Ф4'!E51</f>
        <v>530</v>
      </c>
      <c r="E19" s="675">
        <f>D19-B19</f>
        <v>330</v>
      </c>
      <c r="F19" s="675">
        <f>D19/B19*100</f>
        <v>265</v>
      </c>
      <c r="G19" s="675"/>
      <c r="H19" s="675"/>
      <c r="I19" s="675"/>
      <c r="J19" s="675"/>
    </row>
    <row r="20" spans="1:10" ht="12.75">
      <c r="A20" s="198" t="s">
        <v>353</v>
      </c>
      <c r="B20" s="675"/>
      <c r="C20" s="675"/>
      <c r="D20" s="675"/>
      <c r="E20" s="675"/>
      <c r="F20" s="675"/>
      <c r="G20" s="675"/>
      <c r="H20" s="675"/>
      <c r="I20" s="675"/>
      <c r="J20" s="675"/>
    </row>
    <row r="21" spans="1:10" ht="12.75">
      <c r="A21" s="199" t="s">
        <v>924</v>
      </c>
      <c r="B21" s="211">
        <f>'Ф4'!C49</f>
        <v>-364</v>
      </c>
      <c r="C21" s="211">
        <f>'Ф4'!D49</f>
        <v>8045</v>
      </c>
      <c r="D21" s="211">
        <f>'Ф4'!E49</f>
        <v>-7715</v>
      </c>
      <c r="E21" s="211">
        <f>D21-B21</f>
        <v>-7351</v>
      </c>
      <c r="F21" s="211">
        <f>D21/B21*100</f>
        <v>2119.5054945054944</v>
      </c>
      <c r="G21" s="211">
        <v>100</v>
      </c>
      <c r="H21" s="211">
        <v>100</v>
      </c>
      <c r="I21" s="211">
        <v>100</v>
      </c>
      <c r="J21" s="211"/>
    </row>
    <row r="22" spans="1:10" ht="12.75">
      <c r="A22" s="199" t="s">
        <v>925</v>
      </c>
      <c r="B22" s="211">
        <f>'Ф4'!C21</f>
        <v>-4364</v>
      </c>
      <c r="C22" s="211">
        <f>'Ф4'!D21</f>
        <v>-703</v>
      </c>
      <c r="D22" s="211">
        <f>'Ф4'!E21</f>
        <v>-6857</v>
      </c>
      <c r="E22" s="211">
        <f>D22-B22</f>
        <v>-2493</v>
      </c>
      <c r="F22" s="211">
        <f>D22/B22*100</f>
        <v>157.12648945921174</v>
      </c>
      <c r="G22" s="211">
        <f>B22/B21*G21</f>
        <v>1198.901098901099</v>
      </c>
      <c r="H22" s="211">
        <f>C22/C21*H21</f>
        <v>-8.738346799254195</v>
      </c>
      <c r="I22" s="211">
        <f>D22/D21*I21</f>
        <v>88.87880751782242</v>
      </c>
      <c r="J22" s="211">
        <f>I22-G22</f>
        <v>-1110.0222913832765</v>
      </c>
    </row>
    <row r="23" spans="1:10" ht="12.75">
      <c r="A23" s="199" t="s">
        <v>896</v>
      </c>
      <c r="B23" s="211">
        <f>'Ф4'!C38</f>
        <v>-2000</v>
      </c>
      <c r="C23" s="211">
        <f>'Ф4'!D38</f>
        <v>-10354</v>
      </c>
      <c r="D23" s="211">
        <f>'Ф4'!E38</f>
        <v>-7185</v>
      </c>
      <c r="E23" s="211">
        <f>D23-B23</f>
        <v>-5185</v>
      </c>
      <c r="F23" s="211">
        <f>D23/B23*100</f>
        <v>359.25</v>
      </c>
      <c r="G23" s="211">
        <f>B23/B21*G22</f>
        <v>6587.3686752807635</v>
      </c>
      <c r="H23" s="211">
        <f>C23/C21*H22</f>
        <v>11.246344656243373</v>
      </c>
      <c r="I23" s="211">
        <f>D23/D21*I22</f>
        <v>82.77306960668233</v>
      </c>
      <c r="J23" s="211">
        <f>I23-G23</f>
        <v>-6504.5956056740815</v>
      </c>
    </row>
    <row r="24" spans="1:10" ht="12.75">
      <c r="A24" s="198" t="s">
        <v>897</v>
      </c>
      <c r="B24" s="211">
        <f>'Ф4'!C48</f>
        <v>6000</v>
      </c>
      <c r="C24" s="211">
        <f>'Ф4'!D48</f>
        <v>19102</v>
      </c>
      <c r="D24" s="211">
        <f>'Ф4'!E48</f>
        <v>6327</v>
      </c>
      <c r="E24" s="211">
        <f>D24-B24</f>
        <v>327</v>
      </c>
      <c r="F24" s="211">
        <f>D24/B24*100</f>
        <v>105.45</v>
      </c>
      <c r="G24" s="211">
        <f>B24/B21*G21</f>
        <v>-1648.3516483516482</v>
      </c>
      <c r="H24" s="211">
        <f>C24/C21*H21</f>
        <v>237.43940335612183</v>
      </c>
      <c r="I24" s="211">
        <f>D24/D21*I21</f>
        <v>-82.00907323395981</v>
      </c>
      <c r="J24" s="211">
        <f>I24-G24</f>
        <v>1566.3425751176885</v>
      </c>
    </row>
    <row r="25" spans="1:10" ht="12.75">
      <c r="A25" s="191"/>
      <c r="B25" s="191"/>
      <c r="C25" s="191"/>
      <c r="D25" s="191"/>
      <c r="E25" s="191"/>
      <c r="F25" s="191"/>
      <c r="G25" s="191"/>
      <c r="H25" s="191"/>
      <c r="I25" s="191"/>
      <c r="J25" s="191"/>
    </row>
    <row r="26" spans="1:10" ht="12.75">
      <c r="A26" s="666" t="s">
        <v>926</v>
      </c>
      <c r="B26" s="667"/>
      <c r="C26" s="667"/>
      <c r="D26" s="667"/>
      <c r="E26" s="667"/>
      <c r="F26" s="667"/>
      <c r="G26" s="667"/>
      <c r="H26" s="667"/>
      <c r="I26" s="667"/>
      <c r="J26" s="667"/>
    </row>
    <row r="28" spans="1:10" ht="12.75">
      <c r="A28" s="203" t="s">
        <v>318</v>
      </c>
      <c r="B28" s="668" t="s">
        <v>887</v>
      </c>
      <c r="C28" s="669"/>
      <c r="D28" s="669"/>
      <c r="E28" s="204"/>
      <c r="F28" s="670" t="s">
        <v>888</v>
      </c>
      <c r="G28" s="672" t="s">
        <v>889</v>
      </c>
      <c r="H28" s="673"/>
      <c r="I28" s="673"/>
      <c r="J28" s="674"/>
    </row>
    <row r="29" spans="1:10" ht="22.5">
      <c r="A29" s="209"/>
      <c r="B29" s="206">
        <v>2002</v>
      </c>
      <c r="C29" s="206">
        <v>2003</v>
      </c>
      <c r="D29" s="206">
        <v>2004</v>
      </c>
      <c r="E29" s="207" t="s">
        <v>890</v>
      </c>
      <c r="F29" s="671"/>
      <c r="G29" s="208">
        <v>2002</v>
      </c>
      <c r="H29" s="208">
        <v>2003</v>
      </c>
      <c r="I29" s="208">
        <v>2004</v>
      </c>
      <c r="J29" s="207" t="s">
        <v>890</v>
      </c>
    </row>
    <row r="30" spans="1:10" ht="36">
      <c r="A30" s="213" t="s">
        <v>935</v>
      </c>
      <c r="B30" s="212">
        <f>'Ф4'!C13+'Ф4'!C14</f>
        <v>31734</v>
      </c>
      <c r="C30" s="212">
        <f>'Ф4'!D13+'Ф4'!D14</f>
        <v>63238</v>
      </c>
      <c r="D30" s="212">
        <f>'Ф4'!E13+'Ф4'!E14</f>
        <v>81380</v>
      </c>
      <c r="E30" s="212">
        <f>D30-B30</f>
        <v>49646</v>
      </c>
      <c r="F30" s="212">
        <f>D30/B30*100</f>
        <v>256.44419234890023</v>
      </c>
      <c r="G30" s="212">
        <f>B30/B37*100</f>
        <v>44.26126616176409</v>
      </c>
      <c r="H30" s="212">
        <f>C30/C37*100</f>
        <v>59.778046659356455</v>
      </c>
      <c r="I30" s="212">
        <f>D30/D37*100</f>
        <v>62.62553194764019</v>
      </c>
      <c r="J30" s="212">
        <f>I30-G30</f>
        <v>18.3642657858761</v>
      </c>
    </row>
    <row r="31" spans="1:10" ht="12.75">
      <c r="A31" s="210" t="s">
        <v>936</v>
      </c>
      <c r="B31" s="212">
        <f>'Ф4'!C15</f>
        <v>11748</v>
      </c>
      <c r="C31" s="212">
        <f>'Ф4'!D15</f>
        <v>11767</v>
      </c>
      <c r="D31" s="212">
        <f>'Ф4'!E15</f>
        <v>11900</v>
      </c>
      <c r="E31" s="212">
        <f aca="true" t="shared" si="0" ref="E31:E36">D31-B31</f>
        <v>152</v>
      </c>
      <c r="F31" s="212">
        <f aca="true" t="shared" si="1" ref="F31:F37">D31/B31*100</f>
        <v>101.29383724889342</v>
      </c>
      <c r="G31" s="212">
        <f>B31/B37*100</f>
        <v>16.385622829407087</v>
      </c>
      <c r="H31" s="212">
        <f>C31/C37*100</f>
        <v>11.123189775777972</v>
      </c>
      <c r="I31" s="212">
        <f>D31/D37*100</f>
        <v>9.157579628617821</v>
      </c>
      <c r="J31" s="212">
        <f aca="true" t="shared" si="2" ref="J31:J36">I31-G31</f>
        <v>-7.228043200789266</v>
      </c>
    </row>
    <row r="32" spans="1:10" ht="12.75">
      <c r="A32" s="210" t="s">
        <v>944</v>
      </c>
      <c r="B32" s="212">
        <f>'Ф4'!C16</f>
        <v>0</v>
      </c>
      <c r="C32" s="212">
        <f>'Ф4'!D16</f>
        <v>0</v>
      </c>
      <c r="D32" s="212">
        <f>'Ф4'!E16</f>
        <v>0</v>
      </c>
      <c r="E32" s="212">
        <f t="shared" si="0"/>
        <v>0</v>
      </c>
      <c r="F32" s="212" t="e">
        <f t="shared" si="1"/>
        <v>#DIV/0!</v>
      </c>
      <c r="G32" s="212">
        <f>B32/B37*100</f>
        <v>0</v>
      </c>
      <c r="H32" s="212">
        <f>C32/C37*100</f>
        <v>0</v>
      </c>
      <c r="I32" s="212">
        <f>D32/D37*100</f>
        <v>0</v>
      </c>
      <c r="J32" s="212">
        <f t="shared" si="2"/>
        <v>0</v>
      </c>
    </row>
    <row r="33" spans="1:10" ht="12.75">
      <c r="A33" s="210" t="s">
        <v>945</v>
      </c>
      <c r="B33" s="212">
        <f>'Ф4'!C17</f>
        <v>5490</v>
      </c>
      <c r="C33" s="212">
        <f>'Ф4'!D17</f>
        <v>5660</v>
      </c>
      <c r="D33" s="212">
        <f>'Ф4'!E17</f>
        <v>6048</v>
      </c>
      <c r="E33" s="212">
        <f t="shared" si="0"/>
        <v>558</v>
      </c>
      <c r="F33" s="212">
        <f t="shared" si="1"/>
        <v>110.16393442622952</v>
      </c>
      <c r="G33" s="212">
        <f>B33/B37*100</f>
        <v>7.657224151638144</v>
      </c>
      <c r="H33" s="212">
        <f>C33/C37*100</f>
        <v>5.3503232880856055</v>
      </c>
      <c r="I33" s="212">
        <f>D33/D37*100</f>
        <v>4.654205175956352</v>
      </c>
      <c r="J33" s="212">
        <f t="shared" si="2"/>
        <v>-3.003018975681792</v>
      </c>
    </row>
    <row r="34" spans="1:10" ht="24">
      <c r="A34" s="213" t="s">
        <v>946</v>
      </c>
      <c r="B34" s="212">
        <f>'Ф4'!C18</f>
        <v>0</v>
      </c>
      <c r="C34" s="212">
        <f>'Ф4'!D18</f>
        <v>0</v>
      </c>
      <c r="D34" s="212">
        <f>'Ф4'!E18</f>
        <v>0</v>
      </c>
      <c r="E34" s="212">
        <f t="shared" si="0"/>
        <v>0</v>
      </c>
      <c r="F34" s="212" t="e">
        <f t="shared" si="1"/>
        <v>#DIV/0!</v>
      </c>
      <c r="G34" s="212">
        <f>B34/B37*100</f>
        <v>0</v>
      </c>
      <c r="H34" s="212">
        <f>C34/C37*100</f>
        <v>0</v>
      </c>
      <c r="I34" s="212">
        <f>D34/D37*100</f>
        <v>0</v>
      </c>
      <c r="J34" s="212">
        <f t="shared" si="2"/>
        <v>0</v>
      </c>
    </row>
    <row r="35" spans="1:10" ht="12.75">
      <c r="A35" s="210" t="s">
        <v>947</v>
      </c>
      <c r="B35" s="212">
        <f>'Ф4'!C19</f>
        <v>0</v>
      </c>
      <c r="C35" s="212">
        <f>'Ф4'!D19</f>
        <v>0</v>
      </c>
      <c r="D35" s="212">
        <f>'Ф4'!E19</f>
        <v>0</v>
      </c>
      <c r="E35" s="212">
        <f t="shared" si="0"/>
        <v>0</v>
      </c>
      <c r="F35" s="212" t="e">
        <f t="shared" si="1"/>
        <v>#DIV/0!</v>
      </c>
      <c r="G35" s="212">
        <f>B35/B37*100</f>
        <v>0</v>
      </c>
      <c r="H35" s="212">
        <f>C35/C37*100</f>
        <v>0</v>
      </c>
      <c r="I35" s="212">
        <f>D35/D37*100</f>
        <v>0</v>
      </c>
      <c r="J35" s="212">
        <f t="shared" si="2"/>
        <v>0</v>
      </c>
    </row>
    <row r="36" spans="1:10" ht="12.75">
      <c r="A36" s="210" t="s">
        <v>927</v>
      </c>
      <c r="B36" s="212">
        <f>'Ф4'!C20</f>
        <v>20723</v>
      </c>
      <c r="C36" s="212">
        <f>'Ф4'!D20</f>
        <v>23120</v>
      </c>
      <c r="D36" s="212">
        <f>'Ф4'!E20</f>
        <v>28615</v>
      </c>
      <c r="E36" s="212">
        <f t="shared" si="0"/>
        <v>7892</v>
      </c>
      <c r="F36" s="212">
        <f t="shared" si="1"/>
        <v>138.08328909906865</v>
      </c>
      <c r="G36" s="212">
        <f>B36/B37*100</f>
        <v>28.90358034506325</v>
      </c>
      <c r="H36" s="212">
        <f>C36/C37*100</f>
        <v>21.85503081634968</v>
      </c>
      <c r="I36" s="212">
        <f>D36/D37*100</f>
        <v>22.02051605654613</v>
      </c>
      <c r="J36" s="212">
        <f t="shared" si="2"/>
        <v>-6.883064288517122</v>
      </c>
    </row>
    <row r="37" spans="1:10" ht="12.75">
      <c r="A37" s="210" t="s">
        <v>781</v>
      </c>
      <c r="B37" s="212">
        <f>SUM(B29:B36)</f>
        <v>71697</v>
      </c>
      <c r="C37" s="212">
        <f>SUM(C29:C36)</f>
        <v>105788</v>
      </c>
      <c r="D37" s="212">
        <f>SUM(D29:D36)</f>
        <v>129947</v>
      </c>
      <c r="E37" s="212">
        <f>SUM(E29:E36)</f>
        <v>58248</v>
      </c>
      <c r="F37" s="212">
        <f t="shared" si="1"/>
        <v>181.24468248322802</v>
      </c>
      <c r="G37" s="212">
        <v>100</v>
      </c>
      <c r="H37" s="212">
        <v>100</v>
      </c>
      <c r="I37" s="212">
        <v>100</v>
      </c>
      <c r="J37" s="212"/>
    </row>
    <row r="38" spans="1:5" ht="12.75">
      <c r="A38" s="191"/>
      <c r="B38" s="191"/>
      <c r="C38" s="191"/>
      <c r="D38" s="191"/>
      <c r="E38" s="191"/>
    </row>
    <row r="39" spans="1:9" ht="12.75">
      <c r="A39" s="227" t="s">
        <v>948</v>
      </c>
      <c r="B39" s="228"/>
      <c r="C39" s="228"/>
      <c r="D39" s="228"/>
      <c r="E39" s="228"/>
      <c r="F39" s="229"/>
      <c r="G39" s="229"/>
      <c r="H39" s="229"/>
      <c r="I39" s="229"/>
    </row>
    <row r="40" spans="1:9" ht="12.75">
      <c r="A40" s="228"/>
      <c r="B40" s="228"/>
      <c r="C40" s="228"/>
      <c r="D40" s="228"/>
      <c r="E40" s="229"/>
      <c r="F40" s="230">
        <v>2001</v>
      </c>
      <c r="G40" s="230">
        <v>2002</v>
      </c>
      <c r="H40" s="230">
        <v>2003</v>
      </c>
      <c r="I40" s="229"/>
    </row>
    <row r="41" spans="1:9" ht="12.75">
      <c r="A41" s="231" t="s">
        <v>1029</v>
      </c>
      <c r="B41" s="228"/>
      <c r="C41" s="228"/>
      <c r="D41" s="228"/>
      <c r="E41" s="228"/>
      <c r="F41" s="229">
        <f>Данные!D79</f>
        <v>15730</v>
      </c>
      <c r="G41" s="229" t="e">
        <f>Данные!#REF!</f>
        <v>#REF!</v>
      </c>
      <c r="H41" s="229" t="e">
        <f>Данные!#REF!</f>
        <v>#REF!</v>
      </c>
      <c r="I41" s="229"/>
    </row>
    <row r="42" spans="1:9" ht="12.75">
      <c r="A42" s="231" t="s">
        <v>1030</v>
      </c>
      <c r="B42" s="228"/>
      <c r="C42" s="228"/>
      <c r="D42" s="228"/>
      <c r="E42" s="228"/>
      <c r="F42" s="229">
        <f>-Данные!D13+Данные!C13</f>
        <v>-3953</v>
      </c>
      <c r="G42" s="229">
        <f>-Данные!E13+Данные!D13</f>
        <v>26496</v>
      </c>
      <c r="H42" s="229">
        <f>-Данные!F13+Данные!E13</f>
        <v>-1278</v>
      </c>
      <c r="I42" s="229"/>
    </row>
    <row r="43" spans="1:9" ht="12.75">
      <c r="A43" s="228" t="s">
        <v>1031</v>
      </c>
      <c r="B43" s="228"/>
      <c r="C43" s="228"/>
      <c r="D43" s="228"/>
      <c r="E43" s="228"/>
      <c r="F43" s="229">
        <f>-Данные!D7+Данные!C7</f>
        <v>-4117</v>
      </c>
      <c r="G43" s="229">
        <f>-Данные!E7+Данные!D7</f>
        <v>32285</v>
      </c>
      <c r="H43" s="229">
        <f>-Данные!F7+Данные!E7</f>
        <v>-7963</v>
      </c>
      <c r="I43" s="229"/>
    </row>
    <row r="44" spans="1:9" ht="12.75">
      <c r="A44" s="231" t="s">
        <v>1032</v>
      </c>
      <c r="B44" s="228"/>
      <c r="C44" s="228"/>
      <c r="D44" s="228"/>
      <c r="E44" s="228"/>
      <c r="F44" s="229">
        <f>Данные!C48-Данные!D48-Данные!C41+Данные!D41</f>
        <v>-22847</v>
      </c>
      <c r="G44" s="229">
        <f>Данные!D48-Данные!E48-Данные!D41+Данные!E41</f>
        <v>13707</v>
      </c>
      <c r="H44" s="229">
        <f>Данные!E48-Данные!F48-Данные!E41+Данные!F41</f>
        <v>-21894</v>
      </c>
      <c r="I44" s="229"/>
    </row>
    <row r="45" spans="1:9" ht="12.75">
      <c r="A45" s="232" t="s">
        <v>949</v>
      </c>
      <c r="B45" s="228"/>
      <c r="C45" s="228"/>
      <c r="D45" s="228"/>
      <c r="E45" s="228"/>
      <c r="F45" s="229">
        <f>Данные!C15-Данные!D15</f>
        <v>-12052</v>
      </c>
      <c r="G45" s="229">
        <f>Данные!D15-Данные!E15</f>
        <v>-15788</v>
      </c>
      <c r="H45" s="229">
        <f>Данные!E15-Данные!F15</f>
        <v>-18185</v>
      </c>
      <c r="I45" s="229"/>
    </row>
    <row r="46" spans="1:9" ht="12.75">
      <c r="A46" s="232" t="s">
        <v>950</v>
      </c>
      <c r="B46" s="228"/>
      <c r="C46" s="228"/>
      <c r="D46" s="228"/>
      <c r="E46" s="228"/>
      <c r="F46" s="229">
        <f>Данные!C23-Данные!D23</f>
        <v>-296</v>
      </c>
      <c r="G46" s="229">
        <f>Данные!D23-Данные!E23</f>
        <v>409</v>
      </c>
      <c r="H46" s="229">
        <f>Данные!E23-Данные!F23</f>
        <v>2024</v>
      </c>
      <c r="I46" s="229"/>
    </row>
    <row r="47" spans="1:9" ht="12.75">
      <c r="A47" s="232" t="s">
        <v>951</v>
      </c>
      <c r="B47" s="228"/>
      <c r="C47" s="228"/>
      <c r="D47" s="228"/>
      <c r="E47" s="228"/>
      <c r="F47" s="229">
        <f>Данные!C24-Данные!D24</f>
        <v>0</v>
      </c>
      <c r="G47" s="229">
        <f>Данные!D24-Данные!E24</f>
        <v>0</v>
      </c>
      <c r="H47" s="229">
        <f>Данные!E24-Данные!F24</f>
        <v>0</v>
      </c>
      <c r="I47" s="229"/>
    </row>
    <row r="48" spans="1:9" ht="12.75">
      <c r="A48" s="232" t="s">
        <v>952</v>
      </c>
      <c r="B48" s="228"/>
      <c r="C48" s="228"/>
      <c r="D48" s="228"/>
      <c r="E48" s="228"/>
      <c r="F48" s="229">
        <f>Данные!C30-Данные!D30</f>
        <v>-6546</v>
      </c>
      <c r="G48" s="229">
        <f>Данные!D30-Данные!E30</f>
        <v>2590</v>
      </c>
      <c r="H48" s="229">
        <f>Данные!E30-Данные!F30</f>
        <v>-4455</v>
      </c>
      <c r="I48" s="229"/>
    </row>
    <row r="49" spans="1:9" ht="12.75">
      <c r="A49" s="232" t="s">
        <v>953</v>
      </c>
      <c r="B49" s="228"/>
      <c r="C49" s="228"/>
      <c r="D49" s="228"/>
      <c r="E49" s="228"/>
      <c r="F49" s="229">
        <f>Данные!C37-Данные!D37</f>
        <v>0</v>
      </c>
      <c r="G49" s="229">
        <f>Данные!D37-Данные!E37</f>
        <v>0</v>
      </c>
      <c r="H49" s="229">
        <f>Данные!E37-Данные!F37</f>
        <v>0</v>
      </c>
      <c r="I49" s="229"/>
    </row>
    <row r="50" spans="1:9" ht="12.75">
      <c r="A50" s="232" t="s">
        <v>954</v>
      </c>
      <c r="B50" s="228"/>
      <c r="C50" s="228"/>
      <c r="D50" s="228"/>
      <c r="E50" s="228"/>
      <c r="F50" s="229">
        <f>Данные!C46-Данные!D46</f>
        <v>0</v>
      </c>
      <c r="G50" s="229">
        <f>Данные!D46-Данные!E46</f>
        <v>0</v>
      </c>
      <c r="H50" s="229">
        <f>Данные!E46-Данные!F46</f>
        <v>0</v>
      </c>
      <c r="I50" s="229"/>
    </row>
    <row r="51" spans="1:9" ht="12.75">
      <c r="A51" s="231" t="s">
        <v>1</v>
      </c>
      <c r="B51" s="228"/>
      <c r="C51" s="228"/>
      <c r="D51" s="228"/>
      <c r="E51" s="228"/>
      <c r="F51" s="229">
        <f>Данные!D81-Данные!D79-Данные!C81</f>
        <v>-1448</v>
      </c>
      <c r="G51" s="229" t="e">
        <f>Данные!E81-Данные!#REF!-Данные!D81</f>
        <v>#REF!</v>
      </c>
      <c r="H51" s="229" t="e">
        <f>Данные!F81-Данные!#REF!-Данные!E81</f>
        <v>#REF!</v>
      </c>
      <c r="I51" s="229"/>
    </row>
    <row r="52" spans="1:9" ht="12.75">
      <c r="A52" s="231" t="s">
        <v>2</v>
      </c>
      <c r="B52" s="228"/>
      <c r="C52" s="228"/>
      <c r="D52" s="228"/>
      <c r="E52" s="228"/>
      <c r="F52" s="229">
        <f>Данные!D88-Данные!C88</f>
        <v>1258</v>
      </c>
      <c r="G52" s="229">
        <f>Данные!E88-Данные!D88</f>
        <v>6268</v>
      </c>
      <c r="H52" s="229">
        <f>Данные!F88-Данные!E88</f>
        <v>-10321</v>
      </c>
      <c r="I52" s="229"/>
    </row>
    <row r="53" spans="1:9" ht="12.75">
      <c r="A53" s="231" t="s">
        <v>3</v>
      </c>
      <c r="B53" s="228"/>
      <c r="C53" s="228"/>
      <c r="D53" s="228"/>
      <c r="E53" s="228"/>
      <c r="F53" s="229">
        <f>Данные!D106-Данные!C106</f>
        <v>6943</v>
      </c>
      <c r="G53" s="229">
        <f>Данные!E106-Данные!D106</f>
        <v>9314</v>
      </c>
      <c r="H53" s="229">
        <f>Данные!F106-Данные!E106</f>
        <v>-8877</v>
      </c>
      <c r="I53" s="229"/>
    </row>
    <row r="54" spans="1:9" ht="12.75">
      <c r="A54" s="231" t="s">
        <v>36</v>
      </c>
      <c r="B54" s="228"/>
      <c r="C54" s="228"/>
      <c r="D54" s="228"/>
      <c r="E54" s="228"/>
      <c r="F54" s="229">
        <f>SUM(F41,F42,F44,F51,F52,F53)</f>
        <v>-4317</v>
      </c>
      <c r="G54" s="229" t="e">
        <f>SUM(G41,G42,G44,G51,G52,G53)</f>
        <v>#REF!</v>
      </c>
      <c r="H54" s="229" t="e">
        <f>SUM(H41,H42,H44,H51,H52,H53)</f>
        <v>#REF!</v>
      </c>
      <c r="I54" s="229"/>
    </row>
    <row r="55" spans="1:9" ht="12.75">
      <c r="A55" s="231" t="s">
        <v>37</v>
      </c>
      <c r="B55" s="228"/>
      <c r="C55" s="228"/>
      <c r="D55" s="228"/>
      <c r="E55" s="228"/>
      <c r="F55" s="229">
        <f>Данные!C41</f>
        <v>564</v>
      </c>
      <c r="G55" s="229">
        <f>Данные!D41</f>
        <v>200</v>
      </c>
      <c r="H55" s="229">
        <f>Данные!E41</f>
        <v>8245</v>
      </c>
      <c r="I55" s="229"/>
    </row>
    <row r="56" spans="1:9" ht="12.75">
      <c r="A56" s="231" t="s">
        <v>38</v>
      </c>
      <c r="B56" s="228"/>
      <c r="C56" s="228"/>
      <c r="D56" s="228"/>
      <c r="E56" s="228"/>
      <c r="F56" s="229">
        <f>Данные!D41</f>
        <v>200</v>
      </c>
      <c r="G56" s="229">
        <f>Данные!E41</f>
        <v>8245</v>
      </c>
      <c r="H56" s="229">
        <f>Данные!F41</f>
        <v>530</v>
      </c>
      <c r="I56" s="229"/>
    </row>
    <row r="57" spans="1:9" ht="12.75">
      <c r="A57" s="228"/>
      <c r="B57" s="228"/>
      <c r="C57" s="228"/>
      <c r="D57" s="228"/>
      <c r="E57" s="228"/>
      <c r="F57" s="229"/>
      <c r="G57" s="229"/>
      <c r="H57" s="229"/>
      <c r="I57" s="229"/>
    </row>
    <row r="58" spans="1:5" ht="12.75">
      <c r="A58" s="191"/>
      <c r="B58" s="191"/>
      <c r="C58" s="191"/>
      <c r="D58" s="191"/>
      <c r="E58" s="191"/>
    </row>
    <row r="59" spans="1:5" ht="12.75">
      <c r="A59" s="191"/>
      <c r="B59" s="191"/>
      <c r="C59" s="191"/>
      <c r="D59" s="191"/>
      <c r="E59" s="191"/>
    </row>
    <row r="60" spans="1:5" ht="12.75">
      <c r="A60" s="191"/>
      <c r="B60" s="191"/>
      <c r="C60" s="191"/>
      <c r="D60" s="191"/>
      <c r="E60" s="191"/>
    </row>
    <row r="61" spans="1:5" ht="12.75">
      <c r="A61" s="191"/>
      <c r="B61" s="191"/>
      <c r="C61" s="191"/>
      <c r="D61" s="191"/>
      <c r="E61" s="191"/>
    </row>
    <row r="62" spans="1:5" ht="12.75">
      <c r="A62" s="191"/>
      <c r="B62" s="191"/>
      <c r="C62" s="191"/>
      <c r="D62" s="191"/>
      <c r="E62" s="191"/>
    </row>
    <row r="63" spans="1:5" ht="12.75">
      <c r="A63" s="191"/>
      <c r="B63" s="191"/>
      <c r="C63" s="191"/>
      <c r="D63" s="191"/>
      <c r="E63" s="191"/>
    </row>
    <row r="64" spans="1:5" ht="12.75">
      <c r="A64" s="191"/>
      <c r="B64" s="191"/>
      <c r="C64" s="191"/>
      <c r="D64" s="191"/>
      <c r="E64" s="191"/>
    </row>
    <row r="65" spans="1:5" ht="12.75">
      <c r="A65" s="191"/>
      <c r="B65" s="191"/>
      <c r="C65" s="191"/>
      <c r="D65" s="191"/>
      <c r="E65" s="191"/>
    </row>
    <row r="66" spans="1:5" ht="12.75">
      <c r="A66" s="191"/>
      <c r="B66" s="191"/>
      <c r="C66" s="191"/>
      <c r="D66" s="191"/>
      <c r="E66" s="191"/>
    </row>
    <row r="67" spans="1:5" ht="12.75">
      <c r="A67" s="191"/>
      <c r="B67" s="191"/>
      <c r="C67" s="191"/>
      <c r="D67" s="191"/>
      <c r="E67" s="191"/>
    </row>
    <row r="68" spans="1:5" ht="12.75">
      <c r="A68" s="191"/>
      <c r="B68" s="191"/>
      <c r="C68" s="191"/>
      <c r="D68" s="191"/>
      <c r="E68" s="191"/>
    </row>
    <row r="69" spans="1:5" ht="12.75">
      <c r="A69" s="191"/>
      <c r="B69" s="191"/>
      <c r="C69" s="191"/>
      <c r="D69" s="191"/>
      <c r="E69" s="191"/>
    </row>
    <row r="70" spans="1:5" ht="12.75">
      <c r="A70" s="191"/>
      <c r="B70" s="191"/>
      <c r="C70" s="191"/>
      <c r="D70" s="191"/>
      <c r="E70" s="191"/>
    </row>
    <row r="71" spans="1:5" ht="12.75">
      <c r="A71" s="191"/>
      <c r="B71" s="191"/>
      <c r="C71" s="191"/>
      <c r="D71" s="191"/>
      <c r="E71" s="191"/>
    </row>
    <row r="72" spans="1:5" ht="12.75">
      <c r="A72" s="191"/>
      <c r="B72" s="191"/>
      <c r="C72" s="191"/>
      <c r="D72" s="191"/>
      <c r="E72" s="191"/>
    </row>
    <row r="73" spans="1:5" ht="12.75">
      <c r="A73" s="191"/>
      <c r="B73" s="191"/>
      <c r="C73" s="191"/>
      <c r="D73" s="191"/>
      <c r="E73" s="191"/>
    </row>
    <row r="74" spans="1:5" ht="12.75">
      <c r="A74" s="191"/>
      <c r="B74" s="191"/>
      <c r="C74" s="191"/>
      <c r="D74" s="191"/>
      <c r="E74" s="191"/>
    </row>
    <row r="75" spans="1:5" ht="12.75">
      <c r="A75" s="191"/>
      <c r="B75" s="191"/>
      <c r="C75" s="191"/>
      <c r="D75" s="191"/>
      <c r="E75" s="191"/>
    </row>
    <row r="76" spans="1:5" ht="12.75">
      <c r="A76" s="191"/>
      <c r="B76" s="191"/>
      <c r="C76" s="191"/>
      <c r="D76" s="191"/>
      <c r="E76" s="191"/>
    </row>
    <row r="77" spans="1:5" ht="12.75">
      <c r="A77" s="191"/>
      <c r="B77" s="191"/>
      <c r="C77" s="191"/>
      <c r="D77" s="191"/>
      <c r="E77" s="191"/>
    </row>
    <row r="78" spans="1:5" ht="12.75">
      <c r="A78" s="191"/>
      <c r="B78" s="191"/>
      <c r="C78" s="191"/>
      <c r="D78" s="191"/>
      <c r="E78" s="191"/>
    </row>
    <row r="79" spans="1:5" ht="12.75">
      <c r="A79" s="191"/>
      <c r="B79" s="191"/>
      <c r="C79" s="191"/>
      <c r="D79" s="191"/>
      <c r="E79" s="191"/>
    </row>
    <row r="80" spans="1:5" ht="12.75">
      <c r="A80" s="191"/>
      <c r="B80" s="191"/>
      <c r="C80" s="191"/>
      <c r="D80" s="191"/>
      <c r="E80" s="191"/>
    </row>
    <row r="81" spans="1:5" ht="12.75">
      <c r="A81" s="191"/>
      <c r="B81" s="191"/>
      <c r="C81" s="191"/>
      <c r="D81" s="191"/>
      <c r="E81" s="191"/>
    </row>
    <row r="82" spans="1:5" ht="12.75">
      <c r="A82" s="191"/>
      <c r="B82" s="191"/>
      <c r="C82" s="191"/>
      <c r="D82" s="191"/>
      <c r="E82" s="191"/>
    </row>
    <row r="83" spans="1:5" ht="12.75">
      <c r="A83" s="191"/>
      <c r="B83" s="191"/>
      <c r="C83" s="191"/>
      <c r="D83" s="191"/>
      <c r="E83" s="191"/>
    </row>
    <row r="84" spans="1:5" ht="12.75">
      <c r="A84" s="191"/>
      <c r="B84" s="191"/>
      <c r="C84" s="191"/>
      <c r="D84" s="191"/>
      <c r="E84" s="191"/>
    </row>
    <row r="85" spans="1:5" ht="12.75">
      <c r="A85" s="191"/>
      <c r="B85" s="191"/>
      <c r="C85" s="191"/>
      <c r="D85" s="191"/>
      <c r="E85" s="191"/>
    </row>
    <row r="86" spans="1:5" ht="12.75">
      <c r="A86" s="191"/>
      <c r="B86" s="191"/>
      <c r="C86" s="191"/>
      <c r="D86" s="191"/>
      <c r="E86" s="191"/>
    </row>
    <row r="87" spans="1:5" ht="12.75">
      <c r="A87" s="191"/>
      <c r="B87" s="191"/>
      <c r="C87" s="191"/>
      <c r="D87" s="191"/>
      <c r="E87" s="191"/>
    </row>
    <row r="88" spans="1:5" ht="12.75">
      <c r="A88" s="191"/>
      <c r="B88" s="191"/>
      <c r="C88" s="191"/>
      <c r="D88" s="191"/>
      <c r="E88" s="191"/>
    </row>
    <row r="89" spans="1:5" ht="12.75">
      <c r="A89" s="191"/>
      <c r="B89" s="191"/>
      <c r="C89" s="191"/>
      <c r="D89" s="191"/>
      <c r="E89" s="191"/>
    </row>
    <row r="90" spans="1:5" ht="12.75">
      <c r="A90" s="191"/>
      <c r="B90" s="191"/>
      <c r="C90" s="191"/>
      <c r="D90" s="191"/>
      <c r="E90" s="191"/>
    </row>
    <row r="91" spans="1:5" ht="12.75">
      <c r="A91" s="191"/>
      <c r="B91" s="191"/>
      <c r="C91" s="191"/>
      <c r="D91" s="191"/>
      <c r="E91" s="191"/>
    </row>
    <row r="92" spans="1:5" ht="12.75">
      <c r="A92" s="191"/>
      <c r="B92" s="191"/>
      <c r="C92" s="191"/>
      <c r="D92" s="191"/>
      <c r="E92" s="191"/>
    </row>
    <row r="93" spans="1:5" ht="12.75">
      <c r="A93" s="191"/>
      <c r="B93" s="191"/>
      <c r="C93" s="191"/>
      <c r="D93" s="191"/>
      <c r="E93" s="191"/>
    </row>
    <row r="94" spans="1:5" ht="12.75">
      <c r="A94" s="191"/>
      <c r="B94" s="191"/>
      <c r="C94" s="191"/>
      <c r="D94" s="191"/>
      <c r="E94" s="191"/>
    </row>
    <row r="95" spans="1:5" ht="12.75">
      <c r="A95" s="191"/>
      <c r="B95" s="191"/>
      <c r="C95" s="191"/>
      <c r="D95" s="191"/>
      <c r="E95" s="191"/>
    </row>
    <row r="96" spans="1:5" ht="12.75">
      <c r="A96" s="191"/>
      <c r="B96" s="191"/>
      <c r="C96" s="191"/>
      <c r="D96" s="191"/>
      <c r="E96" s="191"/>
    </row>
    <row r="97" spans="1:5" ht="12.75">
      <c r="A97" s="191"/>
      <c r="B97" s="191"/>
      <c r="C97" s="191"/>
      <c r="D97" s="191"/>
      <c r="E97" s="191"/>
    </row>
    <row r="98" spans="1:5" ht="12.75">
      <c r="A98" s="191"/>
      <c r="B98" s="191"/>
      <c r="C98" s="191"/>
      <c r="D98" s="191"/>
      <c r="E98" s="191"/>
    </row>
    <row r="99" spans="1:5" ht="12.75">
      <c r="A99" s="191"/>
      <c r="B99" s="191"/>
      <c r="C99" s="191"/>
      <c r="D99" s="191"/>
      <c r="E99" s="191"/>
    </row>
    <row r="100" spans="1:5" ht="12.75">
      <c r="A100" s="191"/>
      <c r="B100" s="191"/>
      <c r="C100" s="191"/>
      <c r="D100" s="191"/>
      <c r="E100" s="191"/>
    </row>
    <row r="101" spans="1:5" ht="12.75">
      <c r="A101" s="191"/>
      <c r="B101" s="191"/>
      <c r="C101" s="191"/>
      <c r="D101" s="191"/>
      <c r="E101" s="191"/>
    </row>
    <row r="102" spans="1:5" ht="12.75">
      <c r="A102" s="191"/>
      <c r="B102" s="191"/>
      <c r="C102" s="191"/>
      <c r="D102" s="191"/>
      <c r="E102" s="191"/>
    </row>
    <row r="103" spans="1:5" ht="12.75">
      <c r="A103" s="191"/>
      <c r="B103" s="191"/>
      <c r="C103" s="191"/>
      <c r="D103" s="191"/>
      <c r="E103" s="191"/>
    </row>
    <row r="104" spans="1:5" ht="12.75">
      <c r="A104" s="191"/>
      <c r="B104" s="191"/>
      <c r="C104" s="191"/>
      <c r="D104" s="191"/>
      <c r="E104" s="191"/>
    </row>
    <row r="105" spans="1:5" ht="12.75">
      <c r="A105" s="191"/>
      <c r="B105" s="191"/>
      <c r="C105" s="191"/>
      <c r="D105" s="191"/>
      <c r="E105" s="191"/>
    </row>
    <row r="106" spans="1:5" ht="12.75">
      <c r="A106" s="191"/>
      <c r="B106" s="191"/>
      <c r="C106" s="191"/>
      <c r="D106" s="191"/>
      <c r="E106" s="191"/>
    </row>
    <row r="107" spans="1:5" ht="12.75">
      <c r="A107" s="191"/>
      <c r="B107" s="191"/>
      <c r="C107" s="191"/>
      <c r="D107" s="191"/>
      <c r="E107" s="191"/>
    </row>
    <row r="108" spans="1:5" ht="12.75">
      <c r="A108" s="191"/>
      <c r="B108" s="191"/>
      <c r="C108" s="191"/>
      <c r="D108" s="191"/>
      <c r="E108" s="191"/>
    </row>
    <row r="109" spans="1:5" ht="12.75">
      <c r="A109" s="191"/>
      <c r="B109" s="191"/>
      <c r="C109" s="191"/>
      <c r="D109" s="191"/>
      <c r="E109" s="191"/>
    </row>
    <row r="110" spans="1:5" ht="12.75">
      <c r="A110" s="191"/>
      <c r="B110" s="191"/>
      <c r="C110" s="191"/>
      <c r="D110" s="191"/>
      <c r="E110" s="191"/>
    </row>
    <row r="111" spans="1:5" ht="12.75">
      <c r="A111" s="191"/>
      <c r="B111" s="191"/>
      <c r="C111" s="191"/>
      <c r="D111" s="191"/>
      <c r="E111" s="191"/>
    </row>
    <row r="112" spans="1:5" ht="12.75">
      <c r="A112" s="191"/>
      <c r="B112" s="191"/>
      <c r="C112" s="191"/>
      <c r="D112" s="191"/>
      <c r="E112" s="191"/>
    </row>
    <row r="113" spans="1:5" ht="12.75">
      <c r="A113" s="191"/>
      <c r="B113" s="191"/>
      <c r="C113" s="191"/>
      <c r="D113" s="191"/>
      <c r="E113" s="191"/>
    </row>
    <row r="114" spans="1:5" ht="12.75">
      <c r="A114" s="191"/>
      <c r="B114" s="191"/>
      <c r="C114" s="191"/>
      <c r="D114" s="191"/>
      <c r="E114" s="191"/>
    </row>
    <row r="115" spans="1:5" ht="12.75">
      <c r="A115" s="191"/>
      <c r="B115" s="191"/>
      <c r="C115" s="191"/>
      <c r="D115" s="191"/>
      <c r="E115" s="191"/>
    </row>
    <row r="116" spans="1:5" ht="12.75">
      <c r="A116" s="191"/>
      <c r="B116" s="191"/>
      <c r="C116" s="191"/>
      <c r="D116" s="191"/>
      <c r="E116" s="191"/>
    </row>
    <row r="117" spans="1:5" ht="12.75">
      <c r="A117" s="191"/>
      <c r="B117" s="191"/>
      <c r="C117" s="191"/>
      <c r="D117" s="191"/>
      <c r="E117" s="191"/>
    </row>
    <row r="118" spans="1:5" ht="12.75">
      <c r="A118" s="191"/>
      <c r="B118" s="191"/>
      <c r="C118" s="191"/>
      <c r="D118" s="191"/>
      <c r="E118" s="191"/>
    </row>
    <row r="119" spans="1:5" ht="12.75">
      <c r="A119" s="191"/>
      <c r="B119" s="191"/>
      <c r="C119" s="191"/>
      <c r="D119" s="191"/>
      <c r="E119" s="191"/>
    </row>
    <row r="120" spans="1:5" ht="12.75">
      <c r="A120" s="191"/>
      <c r="B120" s="191"/>
      <c r="C120" s="191"/>
      <c r="D120" s="191"/>
      <c r="E120" s="191"/>
    </row>
    <row r="121" spans="1:5" ht="12.75">
      <c r="A121" s="191"/>
      <c r="B121" s="191"/>
      <c r="C121" s="191"/>
      <c r="D121" s="191"/>
      <c r="E121" s="191"/>
    </row>
    <row r="122" spans="1:5" ht="12.75">
      <c r="A122" s="191"/>
      <c r="B122" s="191"/>
      <c r="C122" s="191"/>
      <c r="D122" s="191"/>
      <c r="E122" s="191"/>
    </row>
    <row r="123" spans="1:5" ht="12.75">
      <c r="A123" s="191"/>
      <c r="B123" s="191"/>
      <c r="C123" s="191"/>
      <c r="D123" s="191"/>
      <c r="E123" s="191"/>
    </row>
    <row r="124" spans="1:5" ht="12.75">
      <c r="A124" s="191"/>
      <c r="B124" s="191"/>
      <c r="C124" s="191"/>
      <c r="D124" s="191"/>
      <c r="E124" s="191"/>
    </row>
    <row r="125" spans="1:5" ht="12.75">
      <c r="A125" s="191"/>
      <c r="B125" s="191"/>
      <c r="C125" s="191"/>
      <c r="D125" s="191"/>
      <c r="E125" s="191"/>
    </row>
    <row r="126" spans="1:5" ht="12.75">
      <c r="A126" s="191"/>
      <c r="B126" s="191"/>
      <c r="C126" s="191"/>
      <c r="D126" s="191"/>
      <c r="E126" s="191"/>
    </row>
    <row r="127" spans="1:5" ht="12.75">
      <c r="A127" s="191"/>
      <c r="B127" s="191"/>
      <c r="C127" s="191"/>
      <c r="D127" s="191"/>
      <c r="E127" s="191"/>
    </row>
    <row r="128" spans="1:5" ht="12.75">
      <c r="A128" s="191"/>
      <c r="B128" s="191"/>
      <c r="C128" s="191"/>
      <c r="D128" s="191"/>
      <c r="E128" s="191"/>
    </row>
    <row r="129" spans="1:5" ht="12.75">
      <c r="A129" s="191"/>
      <c r="B129" s="191"/>
      <c r="C129" s="191"/>
      <c r="D129" s="191"/>
      <c r="E129" s="191"/>
    </row>
    <row r="130" spans="1:5" ht="12.75">
      <c r="A130" s="191"/>
      <c r="B130" s="191"/>
      <c r="C130" s="191"/>
      <c r="D130" s="191"/>
      <c r="E130" s="191"/>
    </row>
    <row r="131" spans="1:5" ht="12.75">
      <c r="A131" s="191"/>
      <c r="B131" s="191"/>
      <c r="C131" s="191"/>
      <c r="D131" s="191"/>
      <c r="E131" s="191"/>
    </row>
    <row r="132" spans="1:5" ht="12.75">
      <c r="A132" s="191"/>
      <c r="B132" s="191"/>
      <c r="C132" s="191"/>
      <c r="D132" s="191"/>
      <c r="E132" s="191"/>
    </row>
    <row r="133" spans="1:5" ht="12.75">
      <c r="A133" s="191"/>
      <c r="B133" s="191"/>
      <c r="C133" s="191"/>
      <c r="D133" s="191"/>
      <c r="E133" s="191"/>
    </row>
    <row r="134" spans="1:5" ht="12.75">
      <c r="A134" s="191"/>
      <c r="B134" s="191"/>
      <c r="C134" s="191"/>
      <c r="D134" s="191"/>
      <c r="E134" s="191"/>
    </row>
    <row r="135" spans="1:5" ht="12.75">
      <c r="A135" s="191"/>
      <c r="B135" s="191"/>
      <c r="C135" s="191"/>
      <c r="D135" s="191"/>
      <c r="E135" s="191"/>
    </row>
    <row r="136" spans="1:5" ht="12.75">
      <c r="A136" s="191"/>
      <c r="B136" s="191"/>
      <c r="C136" s="191"/>
      <c r="D136" s="191"/>
      <c r="E136" s="191"/>
    </row>
    <row r="137" spans="1:5" ht="12.75">
      <c r="A137" s="191"/>
      <c r="B137" s="191"/>
      <c r="C137" s="191"/>
      <c r="D137" s="191"/>
      <c r="E137" s="191"/>
    </row>
    <row r="138" spans="1:5" ht="12.75">
      <c r="A138" s="191"/>
      <c r="B138" s="191"/>
      <c r="C138" s="191"/>
      <c r="D138" s="191"/>
      <c r="E138" s="191"/>
    </row>
    <row r="139" spans="1:5" ht="12.75">
      <c r="A139" s="191"/>
      <c r="B139" s="191"/>
      <c r="C139" s="191"/>
      <c r="D139" s="191"/>
      <c r="E139" s="191"/>
    </row>
    <row r="140" spans="1:5" ht="12.75">
      <c r="A140" s="191"/>
      <c r="B140" s="191"/>
      <c r="C140" s="191"/>
      <c r="D140" s="191"/>
      <c r="E140" s="191"/>
    </row>
    <row r="141" spans="1:5" ht="12.75">
      <c r="A141" s="191"/>
      <c r="B141" s="191"/>
      <c r="C141" s="191"/>
      <c r="D141" s="191"/>
      <c r="E141" s="191"/>
    </row>
    <row r="142" spans="1:5" ht="12.75">
      <c r="A142" s="191"/>
      <c r="B142" s="191"/>
      <c r="C142" s="191"/>
      <c r="D142" s="191"/>
      <c r="E142" s="191"/>
    </row>
    <row r="143" spans="1:5" ht="12.75">
      <c r="A143" s="191"/>
      <c r="B143" s="191"/>
      <c r="C143" s="191"/>
      <c r="D143" s="191"/>
      <c r="E143" s="191"/>
    </row>
    <row r="144" spans="1:5" ht="12.75">
      <c r="A144" s="191"/>
      <c r="B144" s="191"/>
      <c r="C144" s="191"/>
      <c r="D144" s="191"/>
      <c r="E144" s="191"/>
    </row>
    <row r="145" spans="1:5" ht="12.75">
      <c r="A145" s="191"/>
      <c r="B145" s="191"/>
      <c r="C145" s="191"/>
      <c r="D145" s="191"/>
      <c r="E145" s="191"/>
    </row>
    <row r="146" spans="1:5" ht="12.75">
      <c r="A146" s="191"/>
      <c r="B146" s="191"/>
      <c r="C146" s="191"/>
      <c r="D146" s="191"/>
      <c r="E146" s="191"/>
    </row>
    <row r="147" spans="1:5" ht="12.75">
      <c r="A147" s="191"/>
      <c r="B147" s="191"/>
      <c r="C147" s="191"/>
      <c r="D147" s="191"/>
      <c r="E147" s="191"/>
    </row>
    <row r="148" spans="1:5" ht="12.75">
      <c r="A148" s="191"/>
      <c r="B148" s="191"/>
      <c r="C148" s="191"/>
      <c r="D148" s="191"/>
      <c r="E148" s="191"/>
    </row>
    <row r="149" spans="1:5" ht="12.75">
      <c r="A149" s="191"/>
      <c r="B149" s="191"/>
      <c r="C149" s="191"/>
      <c r="D149" s="191"/>
      <c r="E149" s="191"/>
    </row>
    <row r="150" spans="1:5" ht="12.75">
      <c r="A150" s="191"/>
      <c r="B150" s="191"/>
      <c r="C150" s="191"/>
      <c r="D150" s="191"/>
      <c r="E150" s="191"/>
    </row>
    <row r="151" spans="1:5" ht="12.75">
      <c r="A151" s="191"/>
      <c r="B151" s="191"/>
      <c r="C151" s="191"/>
      <c r="D151" s="191"/>
      <c r="E151" s="191"/>
    </row>
    <row r="152" spans="1:5" ht="12.75">
      <c r="A152" s="191"/>
      <c r="B152" s="191"/>
      <c r="C152" s="191"/>
      <c r="D152" s="191"/>
      <c r="E152" s="191"/>
    </row>
    <row r="153" spans="1:5" ht="12.75">
      <c r="A153" s="191"/>
      <c r="B153" s="191"/>
      <c r="C153" s="191"/>
      <c r="D153" s="191"/>
      <c r="E153" s="191"/>
    </row>
    <row r="154" spans="1:5" ht="12.75">
      <c r="A154" s="191"/>
      <c r="B154" s="191"/>
      <c r="C154" s="191"/>
      <c r="D154" s="191"/>
      <c r="E154" s="191"/>
    </row>
    <row r="155" spans="1:5" ht="12.75">
      <c r="A155" s="191"/>
      <c r="B155" s="191"/>
      <c r="C155" s="191"/>
      <c r="D155" s="191"/>
      <c r="E155" s="191"/>
    </row>
    <row r="156" spans="1:5" ht="12.75">
      <c r="A156" s="191"/>
      <c r="B156" s="191"/>
      <c r="C156" s="191"/>
      <c r="D156" s="191"/>
      <c r="E156" s="191"/>
    </row>
    <row r="157" spans="1:5" ht="12.75">
      <c r="A157" s="191"/>
      <c r="B157" s="191"/>
      <c r="C157" s="191"/>
      <c r="D157" s="191"/>
      <c r="E157" s="191"/>
    </row>
    <row r="158" spans="1:5" ht="12.75">
      <c r="A158" s="191"/>
      <c r="B158" s="191"/>
      <c r="C158" s="191"/>
      <c r="D158" s="191"/>
      <c r="E158" s="191"/>
    </row>
    <row r="159" spans="1:5" ht="12.75">
      <c r="A159" s="191"/>
      <c r="B159" s="191"/>
      <c r="C159" s="191"/>
      <c r="D159" s="191"/>
      <c r="E159" s="191"/>
    </row>
    <row r="160" spans="1:5" ht="12.75">
      <c r="A160" s="191"/>
      <c r="B160" s="191"/>
      <c r="C160" s="191"/>
      <c r="D160" s="191"/>
      <c r="E160" s="191"/>
    </row>
    <row r="161" spans="1:5" ht="12.75">
      <c r="A161" s="191"/>
      <c r="B161" s="191"/>
      <c r="C161" s="191"/>
      <c r="D161" s="191"/>
      <c r="E161" s="191"/>
    </row>
    <row r="162" spans="1:5" ht="12.75">
      <c r="A162" s="191"/>
      <c r="B162" s="191"/>
      <c r="C162" s="191"/>
      <c r="D162" s="191"/>
      <c r="E162" s="191"/>
    </row>
    <row r="163" spans="1:5" ht="12.75">
      <c r="A163" s="191"/>
      <c r="B163" s="191"/>
      <c r="C163" s="191"/>
      <c r="D163" s="191"/>
      <c r="E163" s="191"/>
    </row>
    <row r="164" spans="1:5" ht="12.75">
      <c r="A164" s="191"/>
      <c r="B164" s="191"/>
      <c r="C164" s="191"/>
      <c r="D164" s="191"/>
      <c r="E164" s="191"/>
    </row>
    <row r="165" spans="1:5" ht="12.75">
      <c r="A165" s="191"/>
      <c r="B165" s="191"/>
      <c r="C165" s="191"/>
      <c r="D165" s="191"/>
      <c r="E165" s="191"/>
    </row>
    <row r="166" spans="1:5" ht="12.75">
      <c r="A166" s="191"/>
      <c r="B166" s="191"/>
      <c r="C166" s="191"/>
      <c r="D166" s="191"/>
      <c r="E166" s="191"/>
    </row>
    <row r="167" spans="1:5" ht="12.75">
      <c r="A167" s="191"/>
      <c r="B167" s="191"/>
      <c r="C167" s="191"/>
      <c r="D167" s="191"/>
      <c r="E167" s="191"/>
    </row>
    <row r="168" spans="1:5" ht="12.75">
      <c r="A168" s="191"/>
      <c r="B168" s="191"/>
      <c r="C168" s="191"/>
      <c r="D168" s="191"/>
      <c r="E168" s="191"/>
    </row>
    <row r="169" spans="1:5" ht="12.75">
      <c r="A169" s="191"/>
      <c r="B169" s="191"/>
      <c r="C169" s="191"/>
      <c r="D169" s="191"/>
      <c r="E169" s="191"/>
    </row>
    <row r="170" spans="1:5" ht="12.75">
      <c r="A170" s="191"/>
      <c r="B170" s="191"/>
      <c r="C170" s="191"/>
      <c r="D170" s="191"/>
      <c r="E170" s="191"/>
    </row>
    <row r="171" spans="1:5" ht="12.75">
      <c r="A171" s="191"/>
      <c r="B171" s="191"/>
      <c r="C171" s="191"/>
      <c r="D171" s="191"/>
      <c r="E171" s="191"/>
    </row>
    <row r="172" spans="1:5" ht="12.75">
      <c r="A172" s="191"/>
      <c r="B172" s="191"/>
      <c r="C172" s="191"/>
      <c r="D172" s="191"/>
      <c r="E172" s="191"/>
    </row>
    <row r="173" spans="1:5" ht="12.75">
      <c r="A173" s="191"/>
      <c r="B173" s="191"/>
      <c r="C173" s="191"/>
      <c r="D173" s="191"/>
      <c r="E173" s="191"/>
    </row>
    <row r="174" spans="1:5" ht="12.75">
      <c r="A174" s="191"/>
      <c r="B174" s="191"/>
      <c r="C174" s="191"/>
      <c r="D174" s="191"/>
      <c r="E174" s="191"/>
    </row>
    <row r="175" spans="1:5" ht="12.75">
      <c r="A175" s="191"/>
      <c r="B175" s="191"/>
      <c r="C175" s="191"/>
      <c r="D175" s="191"/>
      <c r="E175" s="191"/>
    </row>
    <row r="176" spans="1:5" ht="12.75">
      <c r="A176" s="191"/>
      <c r="B176" s="191"/>
      <c r="C176" s="191"/>
      <c r="D176" s="191"/>
      <c r="E176" s="191"/>
    </row>
    <row r="177" spans="1:5" ht="12.75">
      <c r="A177" s="191"/>
      <c r="B177" s="191"/>
      <c r="C177" s="191"/>
      <c r="D177" s="191"/>
      <c r="E177" s="191"/>
    </row>
    <row r="178" spans="1:5" ht="12.75">
      <c r="A178" s="191"/>
      <c r="B178" s="191"/>
      <c r="C178" s="191"/>
      <c r="D178" s="191"/>
      <c r="E178" s="191"/>
    </row>
    <row r="179" spans="1:5" ht="12.75">
      <c r="A179" s="191"/>
      <c r="B179" s="191"/>
      <c r="C179" s="191"/>
      <c r="D179" s="191"/>
      <c r="E179" s="191"/>
    </row>
    <row r="180" spans="1:5" ht="12.75">
      <c r="A180" s="191"/>
      <c r="B180" s="191"/>
      <c r="C180" s="191"/>
      <c r="D180" s="191"/>
      <c r="E180" s="191"/>
    </row>
    <row r="181" spans="1:5" ht="12.75">
      <c r="A181" s="191"/>
      <c r="B181" s="191"/>
      <c r="C181" s="191"/>
      <c r="D181" s="191"/>
      <c r="E181" s="191"/>
    </row>
    <row r="182" spans="1:5" ht="12.75">
      <c r="A182" s="191"/>
      <c r="B182" s="191"/>
      <c r="C182" s="191"/>
      <c r="D182" s="191"/>
      <c r="E182" s="191"/>
    </row>
    <row r="183" spans="1:5" ht="12.75">
      <c r="A183" s="191"/>
      <c r="B183" s="191"/>
      <c r="C183" s="191"/>
      <c r="D183" s="191"/>
      <c r="E183" s="191"/>
    </row>
    <row r="184" spans="1:5" ht="12.75">
      <c r="A184" s="191"/>
      <c r="B184" s="191"/>
      <c r="C184" s="191"/>
      <c r="D184" s="191"/>
      <c r="E184" s="191"/>
    </row>
    <row r="185" spans="1:5" ht="12.75">
      <c r="A185" s="191"/>
      <c r="B185" s="191"/>
      <c r="C185" s="191"/>
      <c r="D185" s="191"/>
      <c r="E185" s="191"/>
    </row>
    <row r="186" spans="1:5" ht="12.75">
      <c r="A186" s="191"/>
      <c r="B186" s="191"/>
      <c r="C186" s="191"/>
      <c r="D186" s="191"/>
      <c r="E186" s="191"/>
    </row>
    <row r="187" spans="1:5" ht="12.75">
      <c r="A187" s="191"/>
      <c r="B187" s="191"/>
      <c r="C187" s="191"/>
      <c r="D187" s="191"/>
      <c r="E187" s="191"/>
    </row>
    <row r="188" spans="1:5" ht="12.75">
      <c r="A188" s="191"/>
      <c r="B188" s="191"/>
      <c r="C188" s="191"/>
      <c r="D188" s="191"/>
      <c r="E188" s="191"/>
    </row>
    <row r="189" spans="1:5" ht="12.75">
      <c r="A189" s="191"/>
      <c r="B189" s="191"/>
      <c r="C189" s="191"/>
      <c r="D189" s="191"/>
      <c r="E189" s="191"/>
    </row>
    <row r="190" spans="1:5" ht="12.75">
      <c r="A190" s="191"/>
      <c r="B190" s="191"/>
      <c r="C190" s="191"/>
      <c r="D190" s="191"/>
      <c r="E190" s="191"/>
    </row>
    <row r="191" spans="1:5" ht="12.75">
      <c r="A191" s="191"/>
      <c r="B191" s="191"/>
      <c r="C191" s="191"/>
      <c r="D191" s="191"/>
      <c r="E191" s="191"/>
    </row>
    <row r="192" spans="1:5" ht="12.75">
      <c r="A192" s="191"/>
      <c r="B192" s="191"/>
      <c r="C192" s="191"/>
      <c r="D192" s="191"/>
      <c r="E192" s="191"/>
    </row>
    <row r="193" spans="1:5" ht="12.75">
      <c r="A193" s="191"/>
      <c r="B193" s="191"/>
      <c r="C193" s="191"/>
      <c r="D193" s="191"/>
      <c r="E193" s="191"/>
    </row>
    <row r="194" spans="1:5" ht="12.75">
      <c r="A194" s="191"/>
      <c r="B194" s="191"/>
      <c r="C194" s="191"/>
      <c r="D194" s="191"/>
      <c r="E194" s="191"/>
    </row>
    <row r="195" spans="1:5" ht="12.75">
      <c r="A195" s="191"/>
      <c r="B195" s="191"/>
      <c r="C195" s="191"/>
      <c r="D195" s="191"/>
      <c r="E195" s="191"/>
    </row>
    <row r="196" spans="1:5" ht="12.75">
      <c r="A196" s="191"/>
      <c r="B196" s="191"/>
      <c r="C196" s="191"/>
      <c r="D196" s="191"/>
      <c r="E196" s="191"/>
    </row>
    <row r="197" spans="1:5" ht="12.75">
      <c r="A197" s="191"/>
      <c r="B197" s="191"/>
      <c r="C197" s="191"/>
      <c r="D197" s="191"/>
      <c r="E197" s="191"/>
    </row>
    <row r="198" spans="1:5" ht="12.75">
      <c r="A198" s="191"/>
      <c r="B198" s="191"/>
      <c r="C198" s="191"/>
      <c r="D198" s="191"/>
      <c r="E198" s="191"/>
    </row>
    <row r="199" spans="1:5" ht="12.75">
      <c r="A199" s="191"/>
      <c r="B199" s="191"/>
      <c r="C199" s="191"/>
      <c r="D199" s="191"/>
      <c r="E199" s="191"/>
    </row>
    <row r="200" spans="1:5" ht="12.75">
      <c r="A200" s="191"/>
      <c r="B200" s="191"/>
      <c r="C200" s="191"/>
      <c r="D200" s="191"/>
      <c r="E200" s="191"/>
    </row>
    <row r="201" spans="1:5" ht="12.75">
      <c r="A201" s="191"/>
      <c r="B201" s="191"/>
      <c r="C201" s="191"/>
      <c r="D201" s="191"/>
      <c r="E201" s="191"/>
    </row>
    <row r="202" spans="1:5" ht="12.75">
      <c r="A202" s="191"/>
      <c r="B202" s="191"/>
      <c r="C202" s="191"/>
      <c r="D202" s="191"/>
      <c r="E202" s="191"/>
    </row>
    <row r="203" spans="1:5" ht="12.75">
      <c r="A203" s="191"/>
      <c r="B203" s="191"/>
      <c r="C203" s="191"/>
      <c r="D203" s="191"/>
      <c r="E203" s="191"/>
    </row>
    <row r="204" spans="1:5" ht="12.75">
      <c r="A204" s="191"/>
      <c r="B204" s="191"/>
      <c r="C204" s="191"/>
      <c r="D204" s="191"/>
      <c r="E204" s="191"/>
    </row>
    <row r="205" spans="1:5" ht="12.75">
      <c r="A205" s="191"/>
      <c r="B205" s="191"/>
      <c r="C205" s="191"/>
      <c r="D205" s="191"/>
      <c r="E205" s="191"/>
    </row>
    <row r="206" spans="1:5" ht="12.75">
      <c r="A206" s="191"/>
      <c r="B206" s="191"/>
      <c r="C206" s="191"/>
      <c r="D206" s="191"/>
      <c r="E206" s="191"/>
    </row>
    <row r="207" spans="1:5" ht="12.75">
      <c r="A207" s="191"/>
      <c r="B207" s="191"/>
      <c r="C207" s="191"/>
      <c r="D207" s="191"/>
      <c r="E207" s="191"/>
    </row>
    <row r="208" spans="1:5" ht="12.75">
      <c r="A208" s="191"/>
      <c r="B208" s="191"/>
      <c r="C208" s="191"/>
      <c r="D208" s="191"/>
      <c r="E208" s="191"/>
    </row>
    <row r="209" spans="1:5" ht="12.75">
      <c r="A209" s="191"/>
      <c r="B209" s="191"/>
      <c r="C209" s="191"/>
      <c r="D209" s="191"/>
      <c r="E209" s="191"/>
    </row>
    <row r="210" spans="1:5" ht="12.75">
      <c r="A210" s="191"/>
      <c r="B210" s="191"/>
      <c r="C210" s="191"/>
      <c r="D210" s="191"/>
      <c r="E210" s="191"/>
    </row>
    <row r="211" spans="1:5" ht="12.75">
      <c r="A211" s="191"/>
      <c r="B211" s="191"/>
      <c r="C211" s="191"/>
      <c r="D211" s="191"/>
      <c r="E211" s="191"/>
    </row>
    <row r="212" spans="1:5" ht="12.75">
      <c r="A212" s="191"/>
      <c r="B212" s="191"/>
      <c r="C212" s="191"/>
      <c r="D212" s="191"/>
      <c r="E212" s="191"/>
    </row>
    <row r="213" spans="1:5" ht="12.75">
      <c r="A213" s="191"/>
      <c r="B213" s="191"/>
      <c r="C213" s="191"/>
      <c r="D213" s="191"/>
      <c r="E213" s="191"/>
    </row>
    <row r="214" spans="1:5" ht="12.75">
      <c r="A214" s="191"/>
      <c r="B214" s="191"/>
      <c r="C214" s="191"/>
      <c r="D214" s="191"/>
      <c r="E214" s="191"/>
    </row>
    <row r="215" spans="1:5" ht="12.75">
      <c r="A215" s="191"/>
      <c r="B215" s="191"/>
      <c r="C215" s="191"/>
      <c r="D215" s="191"/>
      <c r="E215" s="191"/>
    </row>
    <row r="216" spans="1:5" ht="12.75">
      <c r="A216" s="191"/>
      <c r="B216" s="191"/>
      <c r="C216" s="191"/>
      <c r="D216" s="191"/>
      <c r="E216" s="191"/>
    </row>
    <row r="217" spans="1:5" ht="12.75">
      <c r="A217" s="191"/>
      <c r="B217" s="191"/>
      <c r="C217" s="191"/>
      <c r="D217" s="191"/>
      <c r="E217" s="191"/>
    </row>
    <row r="218" spans="1:5" ht="12.75">
      <c r="A218" s="191"/>
      <c r="B218" s="191"/>
      <c r="C218" s="191"/>
      <c r="D218" s="191"/>
      <c r="E218" s="191"/>
    </row>
    <row r="219" spans="1:5" ht="12.75">
      <c r="A219" s="191"/>
      <c r="B219" s="191"/>
      <c r="C219" s="191"/>
      <c r="D219" s="191"/>
      <c r="E219" s="191"/>
    </row>
    <row r="220" spans="1:5" ht="12.75">
      <c r="A220" s="191"/>
      <c r="B220" s="191"/>
      <c r="C220" s="191"/>
      <c r="D220" s="191"/>
      <c r="E220" s="191"/>
    </row>
    <row r="221" spans="1:5" ht="12.75">
      <c r="A221" s="191"/>
      <c r="B221" s="191"/>
      <c r="C221" s="191"/>
      <c r="D221" s="191"/>
      <c r="E221" s="191"/>
    </row>
    <row r="222" spans="1:5" ht="12.75">
      <c r="A222" s="191"/>
      <c r="B222" s="191"/>
      <c r="C222" s="191"/>
      <c r="D222" s="191"/>
      <c r="E222" s="191"/>
    </row>
    <row r="223" spans="1:5" ht="12.75">
      <c r="A223" s="191"/>
      <c r="B223" s="191"/>
      <c r="C223" s="191"/>
      <c r="D223" s="191"/>
      <c r="E223" s="191"/>
    </row>
    <row r="224" spans="1:5" ht="12.75">
      <c r="A224" s="191"/>
      <c r="B224" s="191"/>
      <c r="C224" s="191"/>
      <c r="D224" s="191"/>
      <c r="E224" s="191"/>
    </row>
    <row r="225" spans="1:5" ht="12.75">
      <c r="A225" s="191"/>
      <c r="B225" s="191"/>
      <c r="C225" s="191"/>
      <c r="D225" s="191"/>
      <c r="E225" s="191"/>
    </row>
    <row r="226" spans="1:5" ht="12.75">
      <c r="A226" s="191"/>
      <c r="B226" s="191"/>
      <c r="C226" s="191"/>
      <c r="D226" s="191"/>
      <c r="E226" s="191"/>
    </row>
    <row r="227" spans="1:5" ht="12.75">
      <c r="A227" s="191"/>
      <c r="B227" s="191"/>
      <c r="C227" s="191"/>
      <c r="D227" s="191"/>
      <c r="E227" s="191"/>
    </row>
    <row r="228" spans="1:5" ht="12.75">
      <c r="A228" s="191"/>
      <c r="B228" s="191"/>
      <c r="C228" s="191"/>
      <c r="D228" s="191"/>
      <c r="E228" s="191"/>
    </row>
    <row r="229" spans="1:5" ht="12.75">
      <c r="A229" s="191"/>
      <c r="B229" s="191"/>
      <c r="C229" s="191"/>
      <c r="D229" s="191"/>
      <c r="E229" s="191"/>
    </row>
    <row r="230" spans="1:5" ht="12.75">
      <c r="A230" s="191"/>
      <c r="B230" s="191"/>
      <c r="C230" s="191"/>
      <c r="D230" s="191"/>
      <c r="E230" s="191"/>
    </row>
    <row r="231" spans="1:5" ht="12.75">
      <c r="A231" s="191"/>
      <c r="B231" s="191"/>
      <c r="C231" s="191"/>
      <c r="D231" s="191"/>
      <c r="E231" s="191"/>
    </row>
    <row r="232" spans="1:5" ht="12.75">
      <c r="A232" s="191"/>
      <c r="B232" s="191"/>
      <c r="C232" s="191"/>
      <c r="D232" s="191"/>
      <c r="E232" s="191"/>
    </row>
    <row r="233" spans="1:5" ht="12.75">
      <c r="A233" s="191"/>
      <c r="B233" s="191"/>
      <c r="C233" s="191"/>
      <c r="D233" s="191"/>
      <c r="E233" s="191"/>
    </row>
    <row r="234" spans="1:5" ht="12.75">
      <c r="A234" s="191"/>
      <c r="B234" s="191"/>
      <c r="C234" s="191"/>
      <c r="D234" s="191"/>
      <c r="E234" s="191"/>
    </row>
    <row r="235" spans="1:5" ht="12.75">
      <c r="A235" s="191"/>
      <c r="B235" s="191"/>
      <c r="C235" s="191"/>
      <c r="D235" s="191"/>
      <c r="E235" s="191"/>
    </row>
    <row r="236" spans="1:5" ht="12.75">
      <c r="A236" s="191"/>
      <c r="B236" s="191"/>
      <c r="C236" s="191"/>
      <c r="D236" s="191"/>
      <c r="E236" s="191"/>
    </row>
    <row r="237" spans="1:5" ht="12.75">
      <c r="A237" s="191"/>
      <c r="B237" s="191"/>
      <c r="C237" s="191"/>
      <c r="D237" s="191"/>
      <c r="E237" s="191"/>
    </row>
    <row r="238" spans="1:5" ht="12.75">
      <c r="A238" s="191"/>
      <c r="B238" s="191"/>
      <c r="C238" s="191"/>
      <c r="D238" s="191"/>
      <c r="E238" s="191"/>
    </row>
    <row r="239" spans="1:5" ht="12.75">
      <c r="A239" s="191"/>
      <c r="B239" s="191"/>
      <c r="C239" s="191"/>
      <c r="D239" s="191"/>
      <c r="E239" s="191"/>
    </row>
    <row r="240" spans="1:5" ht="12.75">
      <c r="A240" s="191"/>
      <c r="B240" s="191"/>
      <c r="C240" s="191"/>
      <c r="D240" s="191"/>
      <c r="E240" s="191"/>
    </row>
    <row r="241" spans="1:5" ht="12.75">
      <c r="A241" s="191"/>
      <c r="B241" s="191"/>
      <c r="C241" s="191"/>
      <c r="D241" s="191"/>
      <c r="E241" s="191"/>
    </row>
    <row r="242" spans="1:5" ht="12.75">
      <c r="A242" s="191"/>
      <c r="B242" s="191"/>
      <c r="C242" s="191"/>
      <c r="D242" s="191"/>
      <c r="E242" s="191"/>
    </row>
    <row r="243" spans="1:5" ht="12.75">
      <c r="A243" s="191"/>
      <c r="B243" s="191"/>
      <c r="C243" s="191"/>
      <c r="D243" s="191"/>
      <c r="E243" s="191"/>
    </row>
    <row r="244" spans="1:5" ht="12.75">
      <c r="A244" s="191"/>
      <c r="B244" s="191"/>
      <c r="C244" s="191"/>
      <c r="D244" s="191"/>
      <c r="E244" s="191"/>
    </row>
    <row r="245" spans="1:5" ht="12.75">
      <c r="A245" s="191"/>
      <c r="B245" s="191"/>
      <c r="C245" s="191"/>
      <c r="D245" s="191"/>
      <c r="E245" s="191"/>
    </row>
    <row r="246" spans="1:5" ht="12.75">
      <c r="A246" s="191"/>
      <c r="B246" s="191"/>
      <c r="C246" s="191"/>
      <c r="D246" s="191"/>
      <c r="E246" s="191"/>
    </row>
    <row r="247" spans="1:5" ht="12.75">
      <c r="A247" s="191"/>
      <c r="B247" s="191"/>
      <c r="C247" s="191"/>
      <c r="D247" s="191"/>
      <c r="E247" s="191"/>
    </row>
    <row r="248" spans="1:5" ht="12.75">
      <c r="A248" s="191"/>
      <c r="B248" s="191"/>
      <c r="C248" s="191"/>
      <c r="D248" s="191"/>
      <c r="E248" s="191"/>
    </row>
    <row r="249" spans="1:5" ht="12.75">
      <c r="A249" s="191"/>
      <c r="B249" s="191"/>
      <c r="C249" s="191"/>
      <c r="D249" s="191"/>
      <c r="E249" s="191"/>
    </row>
    <row r="250" spans="1:5" ht="12.75">
      <c r="A250" s="191"/>
      <c r="B250" s="191"/>
      <c r="C250" s="191"/>
      <c r="D250" s="191"/>
      <c r="E250" s="191"/>
    </row>
    <row r="251" spans="1:5" ht="12.75">
      <c r="A251" s="191"/>
      <c r="B251" s="191"/>
      <c r="C251" s="191"/>
      <c r="D251" s="191"/>
      <c r="E251" s="191"/>
    </row>
    <row r="252" spans="1:5" ht="12.75">
      <c r="A252" s="191"/>
      <c r="B252" s="191"/>
      <c r="C252" s="191"/>
      <c r="D252" s="191"/>
      <c r="E252" s="191"/>
    </row>
    <row r="253" spans="1:5" ht="12.75">
      <c r="A253" s="191"/>
      <c r="B253" s="191"/>
      <c r="C253" s="191"/>
      <c r="D253" s="191"/>
      <c r="E253" s="191"/>
    </row>
    <row r="254" spans="1:5" ht="12.75">
      <c r="A254" s="191"/>
      <c r="B254" s="191"/>
      <c r="C254" s="191"/>
      <c r="D254" s="191"/>
      <c r="E254" s="191"/>
    </row>
    <row r="255" spans="1:5" ht="12.75">
      <c r="A255" s="191"/>
      <c r="B255" s="191"/>
      <c r="C255" s="191"/>
      <c r="D255" s="191"/>
      <c r="E255" s="191"/>
    </row>
    <row r="256" spans="1:5" ht="12.75">
      <c r="A256" s="191"/>
      <c r="B256" s="191"/>
      <c r="C256" s="191"/>
      <c r="D256" s="191"/>
      <c r="E256" s="191"/>
    </row>
    <row r="257" spans="1:5" ht="12.75">
      <c r="A257" s="191"/>
      <c r="B257" s="191"/>
      <c r="C257" s="191"/>
      <c r="D257" s="191"/>
      <c r="E257" s="191"/>
    </row>
    <row r="258" spans="1:5" ht="12.75">
      <c r="A258" s="191"/>
      <c r="B258" s="191"/>
      <c r="C258" s="191"/>
      <c r="D258" s="191"/>
      <c r="E258" s="191"/>
    </row>
    <row r="259" spans="1:5" ht="12.75">
      <c r="A259" s="191"/>
      <c r="B259" s="191"/>
      <c r="C259" s="191"/>
      <c r="D259" s="191"/>
      <c r="E259" s="191"/>
    </row>
    <row r="260" spans="1:5" ht="12.75">
      <c r="A260" s="191"/>
      <c r="B260" s="191"/>
      <c r="C260" s="191"/>
      <c r="D260" s="191"/>
      <c r="E260" s="191"/>
    </row>
    <row r="261" spans="1:5" ht="12.75">
      <c r="A261" s="191"/>
      <c r="B261" s="191"/>
      <c r="C261" s="191"/>
      <c r="D261" s="191"/>
      <c r="E261" s="191"/>
    </row>
    <row r="262" spans="1:5" ht="12.75">
      <c r="A262" s="191"/>
      <c r="B262" s="191"/>
      <c r="C262" s="191"/>
      <c r="D262" s="191"/>
      <c r="E262" s="191"/>
    </row>
    <row r="263" spans="1:5" ht="12.75">
      <c r="A263" s="191"/>
      <c r="B263" s="191"/>
      <c r="C263" s="191"/>
      <c r="D263" s="191"/>
      <c r="E263" s="191"/>
    </row>
    <row r="264" spans="1:5" ht="12.75">
      <c r="A264" s="191"/>
      <c r="B264" s="191"/>
      <c r="C264" s="191"/>
      <c r="D264" s="191"/>
      <c r="E264" s="191"/>
    </row>
    <row r="265" spans="1:5" ht="12.75">
      <c r="A265" s="191"/>
      <c r="B265" s="191"/>
      <c r="C265" s="191"/>
      <c r="D265" s="191"/>
      <c r="E265" s="191"/>
    </row>
    <row r="266" spans="1:5" ht="12.75">
      <c r="A266" s="191"/>
      <c r="B266" s="191"/>
      <c r="C266" s="191"/>
      <c r="D266" s="191"/>
      <c r="E266" s="191"/>
    </row>
    <row r="267" spans="1:5" ht="12.75">
      <c r="A267" s="191"/>
      <c r="B267" s="191"/>
      <c r="C267" s="191"/>
      <c r="D267" s="191"/>
      <c r="E267" s="191"/>
    </row>
    <row r="268" spans="1:5" ht="12.75">
      <c r="A268" s="191"/>
      <c r="B268" s="191"/>
      <c r="C268" s="191"/>
      <c r="D268" s="191"/>
      <c r="E268" s="191"/>
    </row>
    <row r="269" spans="1:5" ht="12.75">
      <c r="A269" s="191"/>
      <c r="B269" s="191"/>
      <c r="C269" s="191"/>
      <c r="D269" s="191"/>
      <c r="E269" s="191"/>
    </row>
    <row r="270" spans="1:5" ht="12.75">
      <c r="A270" s="191"/>
      <c r="B270" s="191"/>
      <c r="C270" s="191"/>
      <c r="D270" s="191"/>
      <c r="E270" s="191"/>
    </row>
    <row r="271" spans="1:5" ht="12.75">
      <c r="A271" s="191"/>
      <c r="B271" s="191"/>
      <c r="C271" s="191"/>
      <c r="D271" s="191"/>
      <c r="E271" s="191"/>
    </row>
    <row r="272" spans="1:5" ht="12.75">
      <c r="A272" s="191"/>
      <c r="B272" s="191"/>
      <c r="C272" s="191"/>
      <c r="D272" s="191"/>
      <c r="E272" s="191"/>
    </row>
    <row r="273" spans="1:5" ht="12.75">
      <c r="A273" s="191"/>
      <c r="B273" s="191"/>
      <c r="C273" s="191"/>
      <c r="D273" s="191"/>
      <c r="E273" s="191"/>
    </row>
    <row r="274" spans="1:5" ht="12.75">
      <c r="A274" s="191"/>
      <c r="B274" s="191"/>
      <c r="C274" s="191"/>
      <c r="D274" s="191"/>
      <c r="E274" s="191"/>
    </row>
    <row r="275" spans="1:5" ht="12.75">
      <c r="A275" s="191"/>
      <c r="B275" s="191"/>
      <c r="C275" s="191"/>
      <c r="D275" s="191"/>
      <c r="E275" s="191"/>
    </row>
    <row r="276" spans="1:5" ht="12.75">
      <c r="A276" s="191"/>
      <c r="B276" s="191"/>
      <c r="C276" s="191"/>
      <c r="D276" s="191"/>
      <c r="E276" s="191"/>
    </row>
    <row r="277" spans="1:5" ht="12.75">
      <c r="A277" s="191"/>
      <c r="B277" s="191"/>
      <c r="C277" s="191"/>
      <c r="D277" s="191"/>
      <c r="E277" s="191"/>
    </row>
    <row r="278" spans="1:5" ht="12.75">
      <c r="A278" s="191"/>
      <c r="B278" s="191"/>
      <c r="C278" s="191"/>
      <c r="D278" s="191"/>
      <c r="E278" s="191"/>
    </row>
    <row r="279" spans="1:5" ht="12.75">
      <c r="A279" s="191"/>
      <c r="B279" s="191"/>
      <c r="C279" s="191"/>
      <c r="D279" s="191"/>
      <c r="E279" s="191"/>
    </row>
    <row r="280" spans="1:5" ht="12.75">
      <c r="A280" s="191"/>
      <c r="B280" s="191"/>
      <c r="C280" s="191"/>
      <c r="D280" s="191"/>
      <c r="E280" s="191"/>
    </row>
    <row r="281" spans="1:5" ht="12.75">
      <c r="A281" s="191"/>
      <c r="B281" s="191"/>
      <c r="C281" s="191"/>
      <c r="D281" s="191"/>
      <c r="E281" s="191"/>
    </row>
    <row r="282" spans="1:5" ht="12.75">
      <c r="A282" s="191"/>
      <c r="B282" s="191"/>
      <c r="C282" s="191"/>
      <c r="D282" s="191"/>
      <c r="E282" s="191"/>
    </row>
    <row r="283" spans="1:5" ht="12.75">
      <c r="A283" s="191"/>
      <c r="B283" s="191"/>
      <c r="C283" s="191"/>
      <c r="D283" s="191"/>
      <c r="E283" s="191"/>
    </row>
    <row r="284" spans="1:5" ht="12.75">
      <c r="A284" s="191"/>
      <c r="B284" s="191"/>
      <c r="C284" s="191"/>
      <c r="D284" s="191"/>
      <c r="E284" s="191"/>
    </row>
    <row r="285" spans="1:5" ht="12.75">
      <c r="A285" s="191"/>
      <c r="B285" s="191"/>
      <c r="C285" s="191"/>
      <c r="D285" s="191"/>
      <c r="E285" s="191"/>
    </row>
    <row r="286" spans="1:5" ht="12.75">
      <c r="A286" s="191"/>
      <c r="B286" s="191"/>
      <c r="C286" s="191"/>
      <c r="D286" s="191"/>
      <c r="E286" s="191"/>
    </row>
    <row r="287" spans="1:5" ht="12.75">
      <c r="A287" s="191"/>
      <c r="B287" s="191"/>
      <c r="C287" s="191"/>
      <c r="D287" s="191"/>
      <c r="E287" s="191"/>
    </row>
    <row r="288" spans="1:5" ht="12.75">
      <c r="A288" s="191"/>
      <c r="B288" s="191"/>
      <c r="C288" s="191"/>
      <c r="D288" s="191"/>
      <c r="E288" s="191"/>
    </row>
    <row r="289" spans="1:5" ht="12.75">
      <c r="A289" s="191"/>
      <c r="B289" s="191"/>
      <c r="C289" s="191"/>
      <c r="D289" s="191"/>
      <c r="E289" s="191"/>
    </row>
    <row r="290" spans="1:5" ht="12.75">
      <c r="A290" s="191"/>
      <c r="B290" s="191"/>
      <c r="C290" s="191"/>
      <c r="D290" s="191"/>
      <c r="E290" s="191"/>
    </row>
    <row r="291" spans="1:5" ht="12.75">
      <c r="A291" s="191"/>
      <c r="B291" s="191"/>
      <c r="C291" s="191"/>
      <c r="D291" s="191"/>
      <c r="E291" s="191"/>
    </row>
    <row r="292" spans="1:5" ht="12.75">
      <c r="A292" s="191"/>
      <c r="B292" s="191"/>
      <c r="C292" s="191"/>
      <c r="D292" s="191"/>
      <c r="E292" s="191"/>
    </row>
    <row r="293" spans="1:5" ht="12.75">
      <c r="A293" s="191"/>
      <c r="B293" s="191"/>
      <c r="C293" s="191"/>
      <c r="D293" s="191"/>
      <c r="E293" s="191"/>
    </row>
    <row r="294" spans="1:5" ht="12.75">
      <c r="A294" s="191"/>
      <c r="B294" s="191"/>
      <c r="C294" s="191"/>
      <c r="D294" s="191"/>
      <c r="E294" s="191"/>
    </row>
    <row r="295" spans="1:5" ht="12.75">
      <c r="A295" s="191"/>
      <c r="B295" s="191"/>
      <c r="C295" s="191"/>
      <c r="D295" s="191"/>
      <c r="E295" s="191"/>
    </row>
    <row r="296" spans="1:5" ht="12.75">
      <c r="A296" s="191"/>
      <c r="B296" s="191"/>
      <c r="C296" s="191"/>
      <c r="D296" s="191"/>
      <c r="E296" s="191"/>
    </row>
    <row r="297" spans="1:5" ht="12.75">
      <c r="A297" s="191"/>
      <c r="B297" s="191"/>
      <c r="C297" s="191"/>
      <c r="D297" s="191"/>
      <c r="E297" s="191"/>
    </row>
    <row r="298" spans="1:5" ht="12.75">
      <c r="A298" s="191"/>
      <c r="B298" s="191"/>
      <c r="C298" s="191"/>
      <c r="D298" s="191"/>
      <c r="E298" s="191"/>
    </row>
    <row r="299" spans="1:5" ht="12.75">
      <c r="A299" s="191"/>
      <c r="B299" s="191"/>
      <c r="C299" s="191"/>
      <c r="D299" s="191"/>
      <c r="E299" s="191"/>
    </row>
    <row r="300" spans="1:5" ht="12.75">
      <c r="A300" s="191"/>
      <c r="B300" s="191"/>
      <c r="C300" s="191"/>
      <c r="D300" s="191"/>
      <c r="E300" s="191"/>
    </row>
    <row r="301" spans="1:5" ht="12.75">
      <c r="A301" s="191"/>
      <c r="B301" s="191"/>
      <c r="C301" s="191"/>
      <c r="D301" s="191"/>
      <c r="E301" s="191"/>
    </row>
    <row r="302" spans="1:5" ht="12.75">
      <c r="A302" s="191"/>
      <c r="B302" s="191"/>
      <c r="C302" s="191"/>
      <c r="D302" s="191"/>
      <c r="E302" s="191"/>
    </row>
    <row r="303" spans="1:5" ht="12.75">
      <c r="A303" s="191"/>
      <c r="B303" s="191"/>
      <c r="C303" s="191"/>
      <c r="D303" s="191"/>
      <c r="E303" s="191"/>
    </row>
    <row r="304" spans="1:5" ht="12.75">
      <c r="A304" s="191"/>
      <c r="B304" s="191"/>
      <c r="C304" s="191"/>
      <c r="D304" s="191"/>
      <c r="E304" s="191"/>
    </row>
    <row r="305" spans="1:5" ht="12.75">
      <c r="A305" s="191"/>
      <c r="B305" s="191"/>
      <c r="C305" s="191"/>
      <c r="D305" s="191"/>
      <c r="E305" s="191"/>
    </row>
    <row r="306" spans="1:5" ht="12.75">
      <c r="A306" s="191"/>
      <c r="B306" s="191"/>
      <c r="C306" s="191"/>
      <c r="D306" s="191"/>
      <c r="E306" s="191"/>
    </row>
    <row r="307" spans="1:5" ht="12.75">
      <c r="A307" s="191"/>
      <c r="B307" s="191"/>
      <c r="C307" s="191"/>
      <c r="D307" s="191"/>
      <c r="E307" s="191"/>
    </row>
    <row r="308" spans="1:5" ht="12.75">
      <c r="A308" s="191"/>
      <c r="B308" s="191"/>
      <c r="C308" s="191"/>
      <c r="D308" s="191"/>
      <c r="E308" s="191"/>
    </row>
    <row r="309" spans="1:5" ht="12.75">
      <c r="A309" s="191"/>
      <c r="B309" s="191"/>
      <c r="C309" s="191"/>
      <c r="D309" s="191"/>
      <c r="E309" s="191"/>
    </row>
    <row r="310" spans="1:5" ht="12.75">
      <c r="A310" s="191"/>
      <c r="B310" s="191"/>
      <c r="C310" s="191"/>
      <c r="D310" s="191"/>
      <c r="E310" s="191"/>
    </row>
    <row r="311" spans="1:5" ht="12.75">
      <c r="A311" s="191"/>
      <c r="B311" s="191"/>
      <c r="C311" s="191"/>
      <c r="D311" s="191"/>
      <c r="E311" s="191"/>
    </row>
    <row r="312" spans="1:5" ht="12.75">
      <c r="A312" s="191"/>
      <c r="B312" s="191"/>
      <c r="C312" s="191"/>
      <c r="D312" s="191"/>
      <c r="E312" s="191"/>
    </row>
    <row r="313" spans="1:5" ht="12.75">
      <c r="A313" s="191"/>
      <c r="B313" s="191"/>
      <c r="C313" s="191"/>
      <c r="D313" s="191"/>
      <c r="E313" s="191"/>
    </row>
    <row r="314" spans="1:5" ht="12.75">
      <c r="A314" s="191"/>
      <c r="B314" s="191"/>
      <c r="C314" s="191"/>
      <c r="D314" s="191"/>
      <c r="E314" s="191"/>
    </row>
    <row r="315" spans="1:5" ht="12.75">
      <c r="A315" s="191"/>
      <c r="B315" s="191"/>
      <c r="C315" s="191"/>
      <c r="D315" s="191"/>
      <c r="E315" s="191"/>
    </row>
    <row r="316" spans="1:5" ht="12.75">
      <c r="A316" s="191"/>
      <c r="B316" s="191"/>
      <c r="C316" s="191"/>
      <c r="D316" s="191"/>
      <c r="E316" s="191"/>
    </row>
    <row r="317" spans="1:5" ht="12.75">
      <c r="A317" s="191"/>
      <c r="B317" s="191"/>
      <c r="C317" s="191"/>
      <c r="D317" s="191"/>
      <c r="E317" s="191"/>
    </row>
    <row r="318" spans="1:5" ht="12.75">
      <c r="A318" s="191"/>
      <c r="B318" s="191"/>
      <c r="C318" s="191"/>
      <c r="D318" s="191"/>
      <c r="E318" s="191"/>
    </row>
    <row r="319" spans="1:5" ht="12.75">
      <c r="A319" s="191"/>
      <c r="B319" s="191"/>
      <c r="C319" s="191"/>
      <c r="D319" s="191"/>
      <c r="E319" s="191"/>
    </row>
    <row r="320" spans="1:5" ht="12.75">
      <c r="A320" s="191"/>
      <c r="B320" s="191"/>
      <c r="C320" s="191"/>
      <c r="D320" s="191"/>
      <c r="E320" s="191"/>
    </row>
    <row r="321" spans="1:5" ht="12.75">
      <c r="A321" s="191"/>
      <c r="B321" s="191"/>
      <c r="C321" s="191"/>
      <c r="D321" s="191"/>
      <c r="E321" s="191"/>
    </row>
    <row r="322" spans="1:5" ht="12.75">
      <c r="A322" s="191"/>
      <c r="B322" s="191"/>
      <c r="C322" s="191"/>
      <c r="D322" s="191"/>
      <c r="E322" s="191"/>
    </row>
    <row r="323" spans="1:5" ht="12.75">
      <c r="A323" s="191"/>
      <c r="B323" s="191"/>
      <c r="C323" s="191"/>
      <c r="D323" s="191"/>
      <c r="E323" s="191"/>
    </row>
    <row r="324" spans="1:5" ht="12.75">
      <c r="A324" s="191"/>
      <c r="B324" s="191"/>
      <c r="C324" s="191"/>
      <c r="D324" s="191"/>
      <c r="E324" s="191"/>
    </row>
    <row r="325" spans="1:5" ht="12.75">
      <c r="A325" s="191"/>
      <c r="B325" s="191"/>
      <c r="C325" s="191"/>
      <c r="D325" s="191"/>
      <c r="E325" s="191"/>
    </row>
    <row r="326" spans="1:5" ht="12.75">
      <c r="A326" s="191"/>
      <c r="B326" s="191"/>
      <c r="C326" s="191"/>
      <c r="D326" s="191"/>
      <c r="E326" s="191"/>
    </row>
    <row r="327" spans="1:5" ht="12.75">
      <c r="A327" s="191"/>
      <c r="B327" s="191"/>
      <c r="C327" s="191"/>
      <c r="D327" s="191"/>
      <c r="E327" s="191"/>
    </row>
    <row r="328" spans="1:5" ht="12.75">
      <c r="A328" s="191"/>
      <c r="B328" s="191"/>
      <c r="C328" s="191"/>
      <c r="D328" s="191"/>
      <c r="E328" s="191"/>
    </row>
    <row r="329" spans="1:5" ht="12.75">
      <c r="A329" s="191"/>
      <c r="B329" s="191"/>
      <c r="C329" s="191"/>
      <c r="D329" s="191"/>
      <c r="E329" s="191"/>
    </row>
    <row r="330" spans="1:5" ht="12.75">
      <c r="A330" s="191"/>
      <c r="B330" s="191"/>
      <c r="C330" s="191"/>
      <c r="D330" s="191"/>
      <c r="E330" s="191"/>
    </row>
    <row r="331" spans="1:5" ht="12.75">
      <c r="A331" s="191"/>
      <c r="B331" s="191"/>
      <c r="C331" s="191"/>
      <c r="D331" s="191"/>
      <c r="E331" s="191"/>
    </row>
    <row r="332" spans="1:5" ht="12.75">
      <c r="A332" s="191"/>
      <c r="B332" s="191"/>
      <c r="C332" s="191"/>
      <c r="D332" s="191"/>
      <c r="E332" s="191"/>
    </row>
    <row r="333" spans="1:5" ht="12.75">
      <c r="A333" s="191"/>
      <c r="B333" s="191"/>
      <c r="C333" s="191"/>
      <c r="D333" s="191"/>
      <c r="E333" s="191"/>
    </row>
    <row r="334" spans="1:5" ht="12.75">
      <c r="A334" s="191"/>
      <c r="B334" s="191"/>
      <c r="C334" s="191"/>
      <c r="D334" s="191"/>
      <c r="E334" s="191"/>
    </row>
    <row r="335" spans="1:5" ht="12.75">
      <c r="A335" s="191"/>
      <c r="B335" s="191"/>
      <c r="C335" s="191"/>
      <c r="D335" s="191"/>
      <c r="E335" s="191"/>
    </row>
    <row r="336" spans="1:5" ht="12.75">
      <c r="A336" s="191"/>
      <c r="B336" s="191"/>
      <c r="C336" s="191"/>
      <c r="D336" s="191"/>
      <c r="E336" s="191"/>
    </row>
    <row r="337" spans="1:5" ht="12.75">
      <c r="A337" s="191"/>
      <c r="B337" s="191"/>
      <c r="C337" s="191"/>
      <c r="D337" s="191"/>
      <c r="E337" s="191"/>
    </row>
    <row r="338" spans="1:5" ht="12.75">
      <c r="A338" s="191"/>
      <c r="B338" s="191"/>
      <c r="C338" s="191"/>
      <c r="D338" s="191"/>
      <c r="E338" s="191"/>
    </row>
    <row r="339" spans="1:5" ht="12.75">
      <c r="A339" s="191"/>
      <c r="B339" s="191"/>
      <c r="C339" s="191"/>
      <c r="D339" s="191"/>
      <c r="E339" s="191"/>
    </row>
    <row r="340" spans="1:5" ht="12.75">
      <c r="A340" s="191"/>
      <c r="B340" s="191"/>
      <c r="C340" s="191"/>
      <c r="D340" s="191"/>
      <c r="E340" s="191"/>
    </row>
    <row r="341" spans="1:5" ht="12.75">
      <c r="A341" s="191"/>
      <c r="B341" s="191"/>
      <c r="C341" s="191"/>
      <c r="D341" s="191"/>
      <c r="E341" s="191"/>
    </row>
    <row r="342" spans="1:5" ht="12.75">
      <c r="A342" s="191"/>
      <c r="B342" s="191"/>
      <c r="C342" s="191"/>
      <c r="D342" s="191"/>
      <c r="E342" s="191"/>
    </row>
    <row r="343" spans="1:5" ht="12.75">
      <c r="A343" s="191"/>
      <c r="B343" s="191"/>
      <c r="C343" s="191"/>
      <c r="D343" s="191"/>
      <c r="E343" s="191"/>
    </row>
    <row r="344" spans="1:5" ht="12.75">
      <c r="A344" s="191"/>
      <c r="B344" s="191"/>
      <c r="C344" s="191"/>
      <c r="D344" s="191"/>
      <c r="E344" s="191"/>
    </row>
    <row r="345" spans="1:5" ht="12.75">
      <c r="A345" s="191"/>
      <c r="B345" s="191"/>
      <c r="C345" s="191"/>
      <c r="D345" s="191"/>
      <c r="E345" s="191"/>
    </row>
    <row r="346" spans="1:5" ht="12.75">
      <c r="A346" s="191"/>
      <c r="B346" s="191"/>
      <c r="C346" s="191"/>
      <c r="D346" s="191"/>
      <c r="E346" s="191"/>
    </row>
    <row r="347" spans="1:5" ht="12.75">
      <c r="A347" s="191"/>
      <c r="B347" s="191"/>
      <c r="C347" s="191"/>
      <c r="D347" s="191"/>
      <c r="E347" s="191"/>
    </row>
    <row r="348" spans="1:5" ht="12.75">
      <c r="A348" s="191"/>
      <c r="B348" s="191"/>
      <c r="C348" s="191"/>
      <c r="D348" s="191"/>
      <c r="E348" s="191"/>
    </row>
    <row r="349" spans="1:5" ht="12.75">
      <c r="A349" s="191"/>
      <c r="B349" s="191"/>
      <c r="C349" s="191"/>
      <c r="D349" s="191"/>
      <c r="E349" s="191"/>
    </row>
    <row r="350" spans="1:5" ht="12.75">
      <c r="A350" s="191"/>
      <c r="B350" s="191"/>
      <c r="C350" s="191"/>
      <c r="D350" s="191"/>
      <c r="E350" s="191"/>
    </row>
    <row r="351" spans="1:5" ht="12.75">
      <c r="A351" s="191"/>
      <c r="B351" s="191"/>
      <c r="C351" s="191"/>
      <c r="D351" s="191"/>
      <c r="E351" s="191"/>
    </row>
    <row r="352" spans="1:5" ht="12.75">
      <c r="A352" s="191"/>
      <c r="B352" s="191"/>
      <c r="C352" s="191"/>
      <c r="D352" s="191"/>
      <c r="E352" s="191"/>
    </row>
    <row r="353" spans="1:5" ht="12.75">
      <c r="A353" s="191"/>
      <c r="B353" s="191"/>
      <c r="C353" s="191"/>
      <c r="D353" s="191"/>
      <c r="E353" s="191"/>
    </row>
    <row r="354" spans="1:5" ht="12.75">
      <c r="A354" s="191"/>
      <c r="B354" s="191"/>
      <c r="C354" s="191"/>
      <c r="D354" s="191"/>
      <c r="E354" s="191"/>
    </row>
    <row r="355" spans="1:5" ht="12.75">
      <c r="A355" s="191"/>
      <c r="B355" s="191"/>
      <c r="C355" s="191"/>
      <c r="D355" s="191"/>
      <c r="E355" s="191"/>
    </row>
    <row r="356" spans="1:5" ht="12.75">
      <c r="A356" s="191"/>
      <c r="B356" s="191"/>
      <c r="C356" s="191"/>
      <c r="D356" s="191"/>
      <c r="E356" s="191"/>
    </row>
    <row r="357" spans="1:5" ht="12.75">
      <c r="A357" s="191"/>
      <c r="B357" s="191"/>
      <c r="C357" s="191"/>
      <c r="D357" s="191"/>
      <c r="E357" s="191"/>
    </row>
    <row r="358" spans="1:5" ht="12.75">
      <c r="A358" s="191"/>
      <c r="B358" s="191"/>
      <c r="C358" s="191"/>
      <c r="D358" s="191"/>
      <c r="E358" s="191"/>
    </row>
    <row r="359" spans="1:5" ht="12.75">
      <c r="A359" s="191"/>
      <c r="B359" s="191"/>
      <c r="C359" s="191"/>
      <c r="D359" s="191"/>
      <c r="E359" s="191"/>
    </row>
    <row r="360" spans="1:5" ht="12.75">
      <c r="A360" s="191"/>
      <c r="B360" s="191"/>
      <c r="C360" s="191"/>
      <c r="D360" s="191"/>
      <c r="E360" s="191"/>
    </row>
    <row r="361" spans="1:5" ht="12.75">
      <c r="A361" s="191"/>
      <c r="B361" s="191"/>
      <c r="C361" s="191"/>
      <c r="D361" s="191"/>
      <c r="E361" s="191"/>
    </row>
    <row r="362" spans="1:5" ht="12.75">
      <c r="A362" s="191"/>
      <c r="B362" s="191"/>
      <c r="C362" s="191"/>
      <c r="D362" s="191"/>
      <c r="E362" s="191"/>
    </row>
    <row r="363" spans="1:5" ht="12.75">
      <c r="A363" s="191"/>
      <c r="B363" s="191"/>
      <c r="C363" s="191"/>
      <c r="D363" s="191"/>
      <c r="E363" s="191"/>
    </row>
    <row r="364" spans="1:5" ht="12.75">
      <c r="A364" s="191"/>
      <c r="B364" s="191"/>
      <c r="C364" s="191"/>
      <c r="D364" s="191"/>
      <c r="E364" s="191"/>
    </row>
    <row r="365" spans="1:5" ht="12.75">
      <c r="A365" s="191"/>
      <c r="B365" s="191"/>
      <c r="C365" s="191"/>
      <c r="D365" s="191"/>
      <c r="E365" s="191"/>
    </row>
    <row r="366" spans="1:5" ht="12.75">
      <c r="A366" s="191"/>
      <c r="B366" s="191"/>
      <c r="C366" s="191"/>
      <c r="D366" s="191"/>
      <c r="E366" s="191"/>
    </row>
    <row r="367" spans="1:5" ht="12.75">
      <c r="A367" s="191"/>
      <c r="B367" s="191"/>
      <c r="C367" s="191"/>
      <c r="D367" s="191"/>
      <c r="E367" s="191"/>
    </row>
    <row r="368" spans="1:5" ht="12.75">
      <c r="A368" s="191"/>
      <c r="B368" s="191"/>
      <c r="C368" s="191"/>
      <c r="D368" s="191"/>
      <c r="E368" s="191"/>
    </row>
    <row r="369" spans="1:5" ht="12.75">
      <c r="A369" s="191"/>
      <c r="B369" s="191"/>
      <c r="C369" s="191"/>
      <c r="D369" s="191"/>
      <c r="E369" s="191"/>
    </row>
    <row r="370" spans="1:5" ht="12.75">
      <c r="A370" s="191"/>
      <c r="B370" s="191"/>
      <c r="C370" s="191"/>
      <c r="D370" s="191"/>
      <c r="E370" s="191"/>
    </row>
    <row r="371" spans="1:5" ht="12.75">
      <c r="A371" s="191"/>
      <c r="B371" s="191"/>
      <c r="C371" s="191"/>
      <c r="D371" s="191"/>
      <c r="E371" s="191"/>
    </row>
    <row r="372" spans="1:5" ht="12.75">
      <c r="A372" s="191"/>
      <c r="B372" s="191"/>
      <c r="C372" s="191"/>
      <c r="D372" s="191"/>
      <c r="E372" s="191"/>
    </row>
    <row r="373" spans="1:5" ht="12.75">
      <c r="A373" s="191"/>
      <c r="B373" s="191"/>
      <c r="C373" s="191"/>
      <c r="D373" s="191"/>
      <c r="E373" s="191"/>
    </row>
    <row r="374" spans="1:5" ht="12.75">
      <c r="A374" s="191"/>
      <c r="B374" s="191"/>
      <c r="C374" s="191"/>
      <c r="D374" s="191"/>
      <c r="E374" s="191"/>
    </row>
    <row r="375" spans="1:5" ht="12.75">
      <c r="A375" s="191"/>
      <c r="B375" s="191"/>
      <c r="C375" s="191"/>
      <c r="D375" s="191"/>
      <c r="E375" s="191"/>
    </row>
    <row r="376" spans="1:5" ht="12.75">
      <c r="A376" s="191"/>
      <c r="B376" s="191"/>
      <c r="C376" s="191"/>
      <c r="D376" s="191"/>
      <c r="E376" s="191"/>
    </row>
    <row r="377" spans="1:5" ht="12.75">
      <c r="A377" s="191"/>
      <c r="B377" s="191"/>
      <c r="C377" s="191"/>
      <c r="D377" s="191"/>
      <c r="E377" s="191"/>
    </row>
    <row r="378" spans="1:5" ht="12.75">
      <c r="A378" s="191"/>
      <c r="B378" s="191"/>
      <c r="C378" s="191"/>
      <c r="D378" s="191"/>
      <c r="E378" s="191"/>
    </row>
    <row r="379" spans="1:5" ht="12.75">
      <c r="A379" s="191"/>
      <c r="B379" s="191"/>
      <c r="C379" s="191"/>
      <c r="D379" s="191"/>
      <c r="E379" s="191"/>
    </row>
    <row r="380" spans="1:5" ht="12.75">
      <c r="A380" s="191"/>
      <c r="B380" s="191"/>
      <c r="C380" s="191"/>
      <c r="D380" s="191"/>
      <c r="E380" s="191"/>
    </row>
    <row r="381" spans="1:5" ht="12.75">
      <c r="A381" s="191"/>
      <c r="B381" s="191"/>
      <c r="C381" s="191"/>
      <c r="D381" s="191"/>
      <c r="E381" s="191"/>
    </row>
    <row r="382" spans="1:5" ht="12.75">
      <c r="A382" s="191"/>
      <c r="B382" s="191"/>
      <c r="C382" s="191"/>
      <c r="D382" s="191"/>
      <c r="E382" s="191"/>
    </row>
    <row r="383" spans="1:5" ht="12.75">
      <c r="A383" s="191"/>
      <c r="B383" s="191"/>
      <c r="C383" s="191"/>
      <c r="D383" s="191"/>
      <c r="E383" s="191"/>
    </row>
    <row r="384" spans="1:5" ht="12.75">
      <c r="A384" s="191"/>
      <c r="B384" s="191"/>
      <c r="C384" s="191"/>
      <c r="D384" s="191"/>
      <c r="E384" s="191"/>
    </row>
    <row r="385" spans="1:5" ht="12.75">
      <c r="A385" s="191"/>
      <c r="B385" s="191"/>
      <c r="C385" s="191"/>
      <c r="D385" s="191"/>
      <c r="E385" s="191"/>
    </row>
    <row r="386" spans="1:5" ht="12.75">
      <c r="A386" s="191"/>
      <c r="B386" s="191"/>
      <c r="C386" s="191"/>
      <c r="D386" s="191"/>
      <c r="E386" s="191"/>
    </row>
    <row r="387" spans="1:5" ht="12.75">
      <c r="A387" s="191"/>
      <c r="B387" s="191"/>
      <c r="C387" s="191"/>
      <c r="D387" s="191"/>
      <c r="E387" s="191"/>
    </row>
    <row r="388" spans="1:5" ht="12.75">
      <c r="A388" s="191"/>
      <c r="B388" s="191"/>
      <c r="C388" s="191"/>
      <c r="D388" s="191"/>
      <c r="E388" s="191"/>
    </row>
    <row r="389" spans="1:5" ht="12.75">
      <c r="A389" s="191"/>
      <c r="B389" s="191"/>
      <c r="C389" s="191"/>
      <c r="D389" s="191"/>
      <c r="E389" s="191"/>
    </row>
    <row r="390" spans="1:5" ht="12.75">
      <c r="A390" s="191"/>
      <c r="B390" s="191"/>
      <c r="C390" s="191"/>
      <c r="D390" s="191"/>
      <c r="E390" s="191"/>
    </row>
    <row r="391" spans="1:5" ht="12.75">
      <c r="A391" s="191"/>
      <c r="B391" s="191"/>
      <c r="C391" s="191"/>
      <c r="D391" s="191"/>
      <c r="E391" s="191"/>
    </row>
    <row r="392" spans="1:5" ht="12.75">
      <c r="A392" s="191"/>
      <c r="B392" s="191"/>
      <c r="C392" s="191"/>
      <c r="D392" s="191"/>
      <c r="E392" s="191"/>
    </row>
    <row r="393" spans="1:5" ht="12.75">
      <c r="A393" s="191"/>
      <c r="B393" s="191"/>
      <c r="C393" s="191"/>
      <c r="D393" s="191"/>
      <c r="E393" s="191"/>
    </row>
    <row r="394" spans="1:5" ht="12.75">
      <c r="A394" s="191"/>
      <c r="B394" s="191"/>
      <c r="C394" s="191"/>
      <c r="D394" s="191"/>
      <c r="E394" s="191"/>
    </row>
  </sheetData>
  <sheetProtection/>
  <mergeCells count="44">
    <mergeCell ref="B5:B6"/>
    <mergeCell ref="C5:C6"/>
    <mergeCell ref="D5:D6"/>
    <mergeCell ref="E5:E6"/>
    <mergeCell ref="A1:J1"/>
    <mergeCell ref="B3:D3"/>
    <mergeCell ref="F3:F4"/>
    <mergeCell ref="G3:J3"/>
    <mergeCell ref="G7:G8"/>
    <mergeCell ref="H7:H8"/>
    <mergeCell ref="I7:I8"/>
    <mergeCell ref="J7:J8"/>
    <mergeCell ref="F5:F6"/>
    <mergeCell ref="G5:G6"/>
    <mergeCell ref="H5:H6"/>
    <mergeCell ref="I5:I6"/>
    <mergeCell ref="B13:B14"/>
    <mergeCell ref="C13:C14"/>
    <mergeCell ref="D13:D14"/>
    <mergeCell ref="E13:E14"/>
    <mergeCell ref="J5:J6"/>
    <mergeCell ref="B7:B8"/>
    <mergeCell ref="C7:C8"/>
    <mergeCell ref="D7:D8"/>
    <mergeCell ref="E7:E8"/>
    <mergeCell ref="F7:F8"/>
    <mergeCell ref="G19:G20"/>
    <mergeCell ref="H19:H20"/>
    <mergeCell ref="I19:I20"/>
    <mergeCell ref="J19:J20"/>
    <mergeCell ref="F13:F14"/>
    <mergeCell ref="G13:G14"/>
    <mergeCell ref="H13:H14"/>
    <mergeCell ref="I13:I14"/>
    <mergeCell ref="A26:J26"/>
    <mergeCell ref="B28:D28"/>
    <mergeCell ref="F28:F29"/>
    <mergeCell ref="G28:J28"/>
    <mergeCell ref="J13:J14"/>
    <mergeCell ref="B19:B20"/>
    <mergeCell ref="C19:C20"/>
    <mergeCell ref="D19:D20"/>
    <mergeCell ref="E19:E20"/>
    <mergeCell ref="F19:F20"/>
  </mergeCells>
  <printOptions/>
  <pageMargins left="0.75" right="0.75" top="1" bottom="1" header="0.5" footer="0.5"/>
  <pageSetup horizontalDpi="600" verticalDpi="600" orientation="landscape" paperSize="9" r:id="rId1"/>
  <rowBreaks count="1" manualBreakCount="1">
    <brk id="25" max="255" man="1"/>
  </rowBreaks>
</worksheet>
</file>

<file path=xl/worksheets/sheet17.xml><?xml version="1.0" encoding="utf-8"?>
<worksheet xmlns="http://schemas.openxmlformats.org/spreadsheetml/2006/main" xmlns:r="http://schemas.openxmlformats.org/officeDocument/2006/relationships">
  <dimension ref="A1:J780"/>
  <sheetViews>
    <sheetView zoomScale="75" zoomScaleNormal="75" zoomScalePageLayoutView="0" workbookViewId="0" topLeftCell="A16">
      <selection activeCell="B27" sqref="B27"/>
    </sheetView>
  </sheetViews>
  <sheetFormatPr defaultColWidth="9.00390625" defaultRowHeight="12.75"/>
  <cols>
    <col min="1" max="1" width="29.25390625" style="0" customWidth="1"/>
    <col min="2" max="2" width="14.25390625" style="0" customWidth="1"/>
    <col min="3" max="3" width="12.25390625" style="0" customWidth="1"/>
    <col min="4" max="4" width="15.25390625" style="0" customWidth="1"/>
    <col min="5" max="5" width="13.25390625" style="0" customWidth="1"/>
    <col min="6" max="6" width="11.25390625" style="0" customWidth="1"/>
    <col min="7" max="8" width="14.125" style="0" customWidth="1"/>
    <col min="9" max="9" width="14.125" style="0" bestFit="1" customWidth="1"/>
    <col min="10" max="10" width="14.125" style="0" customWidth="1"/>
    <col min="11" max="11" width="12.125" style="0" customWidth="1"/>
    <col min="12" max="12" width="17.625" style="0" bestFit="1" customWidth="1"/>
    <col min="13" max="13" width="16.25390625" style="0" bestFit="1" customWidth="1"/>
    <col min="14" max="14" width="17.625" style="0" bestFit="1" customWidth="1"/>
    <col min="15" max="15" width="16.25390625" style="0" bestFit="1" customWidth="1"/>
  </cols>
  <sheetData>
    <row r="1" spans="1:7" ht="12.75">
      <c r="A1" s="440" t="s">
        <v>616</v>
      </c>
      <c r="B1" s="440"/>
      <c r="C1" s="440"/>
      <c r="D1" s="440"/>
      <c r="E1" s="440"/>
      <c r="F1" s="440"/>
      <c r="G1" s="440"/>
    </row>
    <row r="2" spans="1:7" ht="12.75">
      <c r="A2" s="440"/>
      <c r="B2" s="440"/>
      <c r="C2" s="440"/>
      <c r="D2" s="440"/>
      <c r="E2" s="440"/>
      <c r="F2" s="440"/>
      <c r="G2" s="440"/>
    </row>
    <row r="3" spans="1:7" ht="12.75">
      <c r="A3" s="440"/>
      <c r="B3" s="440"/>
      <c r="C3" s="440"/>
      <c r="D3" s="440"/>
      <c r="E3" s="440"/>
      <c r="F3" s="440"/>
      <c r="G3" s="440"/>
    </row>
    <row r="4" spans="1:7" ht="12.75">
      <c r="A4" s="440"/>
      <c r="B4" s="440"/>
      <c r="C4" s="440"/>
      <c r="D4" s="440"/>
      <c r="E4" s="440"/>
      <c r="F4" s="440"/>
      <c r="G4" s="440"/>
    </row>
    <row r="5" spans="1:7" ht="12.75">
      <c r="A5" s="440"/>
      <c r="B5" s="440"/>
      <c r="C5" s="440"/>
      <c r="D5" s="440"/>
      <c r="E5" s="440"/>
      <c r="F5" s="440"/>
      <c r="G5" s="440"/>
    </row>
    <row r="6" spans="1:7" ht="12.75">
      <c r="A6" s="439"/>
      <c r="B6" s="440"/>
      <c r="C6" s="440"/>
      <c r="D6" s="440"/>
      <c r="E6" s="440"/>
      <c r="F6" s="440"/>
      <c r="G6" s="440"/>
    </row>
    <row r="7" spans="1:7" ht="12.75">
      <c r="A7" s="439"/>
      <c r="B7" s="440"/>
      <c r="C7" s="440"/>
      <c r="D7" s="440"/>
      <c r="E7" s="440"/>
      <c r="F7" s="440"/>
      <c r="G7" s="440"/>
    </row>
    <row r="8" spans="1:7" ht="12.75">
      <c r="A8" s="439"/>
      <c r="B8" s="440"/>
      <c r="C8" s="440"/>
      <c r="D8" s="440"/>
      <c r="E8" s="440"/>
      <c r="F8" s="440"/>
      <c r="G8" s="440"/>
    </row>
    <row r="9" spans="1:7" ht="12.75">
      <c r="A9" s="439"/>
      <c r="B9" s="440"/>
      <c r="C9" s="440"/>
      <c r="D9" s="440"/>
      <c r="E9" s="440"/>
      <c r="F9" s="440"/>
      <c r="G9" s="440"/>
    </row>
    <row r="10" spans="1:7" ht="12.75">
      <c r="A10" s="439"/>
      <c r="B10" s="440"/>
      <c r="C10" s="440"/>
      <c r="D10" s="440"/>
      <c r="E10" s="440"/>
      <c r="F10" s="440"/>
      <c r="G10" s="440"/>
    </row>
    <row r="11" spans="1:7" ht="12.75">
      <c r="A11" s="439"/>
      <c r="B11" s="440"/>
      <c r="C11" s="440"/>
      <c r="D11" s="440"/>
      <c r="E11" s="440"/>
      <c r="F11" s="440"/>
      <c r="G11" s="440"/>
    </row>
    <row r="12" spans="1:7" ht="12.75">
      <c r="A12" s="439"/>
      <c r="B12" s="440"/>
      <c r="C12" s="440"/>
      <c r="D12" s="440"/>
      <c r="E12" s="440"/>
      <c r="F12" s="440"/>
      <c r="G12" s="440"/>
    </row>
    <row r="13" spans="1:7" ht="12.75">
      <c r="A13" s="439"/>
      <c r="B13" s="440"/>
      <c r="C13" s="440"/>
      <c r="D13" s="440"/>
      <c r="E13" s="440"/>
      <c r="F13" s="440"/>
      <c r="G13" s="440"/>
    </row>
    <row r="14" spans="1:7" ht="12.75">
      <c r="A14" s="439"/>
      <c r="B14" s="440"/>
      <c r="C14" s="441"/>
      <c r="D14" s="441"/>
      <c r="E14" s="440"/>
      <c r="F14" s="440"/>
      <c r="G14" s="440"/>
    </row>
    <row r="15" spans="1:7" ht="12.75">
      <c r="A15" s="439"/>
      <c r="B15" s="440"/>
      <c r="C15" s="440"/>
      <c r="D15" s="440"/>
      <c r="E15" s="440"/>
      <c r="F15" s="440"/>
      <c r="G15" s="440"/>
    </row>
    <row r="16" spans="1:7" ht="12.75">
      <c r="A16" s="439"/>
      <c r="B16" s="440"/>
      <c r="C16" s="440"/>
      <c r="D16" s="440"/>
      <c r="E16" s="441"/>
      <c r="F16" s="440"/>
      <c r="G16" s="440"/>
    </row>
    <row r="17" spans="1:7" ht="12.75">
      <c r="A17" s="439"/>
      <c r="B17" s="440"/>
      <c r="C17" s="441"/>
      <c r="D17" s="441"/>
      <c r="E17" s="440"/>
      <c r="F17" s="441"/>
      <c r="G17" s="441"/>
    </row>
    <row r="18" spans="1:7" ht="12.75">
      <c r="A18" s="439"/>
      <c r="B18" s="440"/>
      <c r="C18" s="440"/>
      <c r="D18" s="440"/>
      <c r="E18" s="440"/>
      <c r="F18" s="440"/>
      <c r="G18" s="440"/>
    </row>
    <row r="19" spans="1:7" ht="12.75">
      <c r="A19" s="439"/>
      <c r="B19" s="440"/>
      <c r="C19" s="440"/>
      <c r="D19" s="440"/>
      <c r="E19" s="440"/>
      <c r="F19" s="440"/>
      <c r="G19" s="440"/>
    </row>
    <row r="20" spans="1:7" ht="12.75">
      <c r="A20" s="439"/>
      <c r="B20" s="440"/>
      <c r="C20" s="440"/>
      <c r="D20" s="440"/>
      <c r="F20" s="440"/>
      <c r="G20" s="440"/>
    </row>
    <row r="22" ht="22.5" customHeight="1"/>
    <row r="24" ht="52.5" customHeight="1">
      <c r="E24" s="478" t="s">
        <v>598</v>
      </c>
    </row>
    <row r="25" spans="1:10" ht="33.75">
      <c r="A25" s="458" t="s">
        <v>318</v>
      </c>
      <c r="B25" s="459" t="s">
        <v>15</v>
      </c>
      <c r="C25" s="459" t="s">
        <v>16</v>
      </c>
      <c r="D25" s="459" t="s">
        <v>586</v>
      </c>
      <c r="E25" s="457" t="s">
        <v>598</v>
      </c>
      <c r="F25" s="459" t="s">
        <v>599</v>
      </c>
      <c r="G25" s="459" t="s">
        <v>588</v>
      </c>
      <c r="H25" s="459" t="s">
        <v>600</v>
      </c>
      <c r="I25" s="459" t="s">
        <v>601</v>
      </c>
      <c r="J25" s="465" t="s">
        <v>17</v>
      </c>
    </row>
    <row r="26" spans="1:10" ht="12.75">
      <c r="A26" s="460" t="s">
        <v>587</v>
      </c>
      <c r="B26" s="313"/>
      <c r="C26" s="313"/>
      <c r="D26" s="313">
        <f>Данные!C111</f>
        <v>65747</v>
      </c>
      <c r="E26" s="479"/>
      <c r="F26" s="313"/>
      <c r="G26" s="313">
        <f>Данные!D111</f>
        <v>65909</v>
      </c>
      <c r="H26" s="313"/>
      <c r="I26" s="313"/>
      <c r="J26" s="313">
        <f>Данные!E111</f>
        <v>122618</v>
      </c>
    </row>
    <row r="27" spans="1:10" ht="24" customHeight="1">
      <c r="A27" s="461" t="s">
        <v>842</v>
      </c>
      <c r="B27" s="480">
        <f>SUM('Ф4'!C7:C11)</f>
        <v>65331</v>
      </c>
      <c r="C27" s="480">
        <f>SUM('Ф4'!C12)</f>
        <v>69695</v>
      </c>
      <c r="D27" s="480"/>
      <c r="E27" s="480">
        <f>SUM('Ф4'!D7:D11)</f>
        <v>103082</v>
      </c>
      <c r="F27" s="480">
        <f>SUM('Ф4'!D12)</f>
        <v>103785</v>
      </c>
      <c r="G27" s="480"/>
      <c r="H27" s="480">
        <f>SUM('Ф4'!E7:E11)</f>
        <v>121086</v>
      </c>
      <c r="I27" s="480">
        <f>SUM('Ф4'!E12)</f>
        <v>127943</v>
      </c>
      <c r="J27" s="481"/>
    </row>
    <row r="28" spans="1:10" ht="45" customHeight="1">
      <c r="A28" s="462" t="s">
        <v>590</v>
      </c>
      <c r="B28" s="482">
        <f>SUM('Ф4'!C22:C31)</f>
        <v>0</v>
      </c>
      <c r="C28" s="482">
        <f>SUM('Ф4'!C32:C37)</f>
        <v>2000</v>
      </c>
      <c r="D28" s="482"/>
      <c r="E28" s="482">
        <f>SUM('Ф4'!D22:D31)</f>
        <v>0</v>
      </c>
      <c r="F28" s="482">
        <f>SUM('Ф4'!D32:D37)</f>
        <v>10354</v>
      </c>
      <c r="G28" s="482"/>
      <c r="H28" s="482">
        <f>SUM('Ф4'!E22:E31)</f>
        <v>0</v>
      </c>
      <c r="I28" s="482">
        <f>SUM('Ф4'!E32:E37)</f>
        <v>7185</v>
      </c>
      <c r="J28" s="483"/>
    </row>
    <row r="29" spans="1:10" ht="37.5" customHeight="1">
      <c r="A29" s="462" t="s">
        <v>591</v>
      </c>
      <c r="B29" s="482">
        <f>SUM('Ф4'!C40:C44)</f>
        <v>18000</v>
      </c>
      <c r="C29" s="482">
        <f>SUM('Ф4'!C45:C47)</f>
        <v>12000</v>
      </c>
      <c r="D29" s="482"/>
      <c r="E29" s="482">
        <f>SUM('Ф4'!D40:D44)</f>
        <v>20000</v>
      </c>
      <c r="F29" s="482">
        <f>SUM('Ф4'!D45:D47)</f>
        <v>898</v>
      </c>
      <c r="G29" s="482"/>
      <c r="H29" s="482">
        <f>SUM('Ф4'!E40:E44)</f>
        <v>6327</v>
      </c>
      <c r="I29" s="482">
        <f>SUM('Ф4'!E45:E47)</f>
        <v>0</v>
      </c>
      <c r="J29" s="483"/>
    </row>
    <row r="30" spans="1:10" ht="22.5" customHeight="1">
      <c r="A30" s="463" t="s">
        <v>589</v>
      </c>
      <c r="B30" s="482">
        <f>'Ф4'!C6</f>
        <v>564</v>
      </c>
      <c r="C30" s="482">
        <f>'Ф4'!C51</f>
        <v>200</v>
      </c>
      <c r="D30" s="482"/>
      <c r="E30" s="482">
        <f>'Ф4'!D6</f>
        <v>200</v>
      </c>
      <c r="F30" s="482">
        <f>'Ф4'!D51</f>
        <v>8245</v>
      </c>
      <c r="G30" s="482"/>
      <c r="H30" s="482">
        <f>'Ф4'!E6</f>
        <v>8245</v>
      </c>
      <c r="I30" s="482">
        <f>'Ф4'!E51</f>
        <v>530</v>
      </c>
      <c r="J30" s="484"/>
    </row>
    <row r="31" spans="1:10" ht="12.75">
      <c r="A31" s="464" t="s">
        <v>781</v>
      </c>
      <c r="B31" s="485">
        <f>SUM(B27:B30)</f>
        <v>83895</v>
      </c>
      <c r="C31" s="486">
        <f>SUM(C27:C30)</f>
        <v>83895</v>
      </c>
      <c r="D31" s="487"/>
      <c r="E31" s="485">
        <f>SUM(E27:E30)</f>
        <v>123282</v>
      </c>
      <c r="F31" s="485">
        <f>SUM(F27:F30)</f>
        <v>123282</v>
      </c>
      <c r="G31" s="485"/>
      <c r="H31" s="485">
        <f>SUM(H27:H30)</f>
        <v>135658</v>
      </c>
      <c r="I31" s="485">
        <f>SUM(I27:I30)</f>
        <v>135658</v>
      </c>
      <c r="J31" s="488"/>
    </row>
    <row r="32" spans="1:7" ht="12.75">
      <c r="A32" s="439"/>
      <c r="B32" s="440"/>
      <c r="C32" s="440"/>
      <c r="D32" s="440"/>
      <c r="E32" s="441"/>
      <c r="F32" s="440"/>
      <c r="G32" s="440"/>
    </row>
    <row r="33" spans="1:7" ht="12.75">
      <c r="A33" s="442"/>
      <c r="B33" s="440"/>
      <c r="C33" s="441"/>
      <c r="D33" s="441"/>
      <c r="E33" s="440"/>
      <c r="F33" s="441"/>
      <c r="G33" s="441"/>
    </row>
    <row r="34" spans="1:7" ht="12.75">
      <c r="A34" s="439"/>
      <c r="B34" s="440"/>
      <c r="C34" s="440"/>
      <c r="D34" s="440"/>
      <c r="E34" s="441"/>
      <c r="F34" s="440"/>
      <c r="G34" s="440"/>
    </row>
    <row r="35" spans="1:7" ht="12.75">
      <c r="A35" s="439"/>
      <c r="B35" s="440"/>
      <c r="C35" s="439"/>
      <c r="D35" s="439"/>
      <c r="E35" s="441"/>
      <c r="F35" s="441"/>
      <c r="G35" s="441"/>
    </row>
    <row r="36" spans="1:7" ht="12.75">
      <c r="A36" s="439"/>
      <c r="B36" s="440"/>
      <c r="C36" s="441"/>
      <c r="D36" s="441"/>
      <c r="E36" s="441"/>
      <c r="F36" s="441"/>
      <c r="G36" s="441"/>
    </row>
    <row r="37" spans="1:7" ht="12.75">
      <c r="A37" s="439"/>
      <c r="B37" s="440"/>
      <c r="C37" s="441"/>
      <c r="D37" s="441"/>
      <c r="E37" s="441"/>
      <c r="F37" s="441"/>
      <c r="G37" s="441"/>
    </row>
    <row r="38" spans="1:7" ht="12.75">
      <c r="A38" s="439"/>
      <c r="B38" s="440"/>
      <c r="C38" s="441"/>
      <c r="D38" s="441"/>
      <c r="E38" s="441"/>
      <c r="F38" s="441"/>
      <c r="G38" s="441"/>
    </row>
    <row r="39" spans="1:7" ht="12.75">
      <c r="A39" s="439"/>
      <c r="B39" s="440"/>
      <c r="C39" s="441"/>
      <c r="D39" s="441"/>
      <c r="E39" s="441"/>
      <c r="F39" s="441"/>
      <c r="G39" s="441"/>
    </row>
    <row r="40" spans="1:7" ht="12.75">
      <c r="A40" s="439"/>
      <c r="B40" s="440"/>
      <c r="C40" s="441"/>
      <c r="D40" s="441"/>
      <c r="E40" s="441"/>
      <c r="F40" s="441"/>
      <c r="G40" s="441"/>
    </row>
    <row r="41" spans="1:7" ht="12.75">
      <c r="A41" s="439"/>
      <c r="B41" s="440"/>
      <c r="C41" s="441"/>
      <c r="D41" s="441"/>
      <c r="E41" s="441"/>
      <c r="F41" s="441"/>
      <c r="G41" s="441"/>
    </row>
    <row r="42" spans="1:7" ht="12.75">
      <c r="A42" s="439"/>
      <c r="B42" s="440"/>
      <c r="C42" s="439"/>
      <c r="D42" s="439"/>
      <c r="E42" s="441"/>
      <c r="F42" s="441"/>
      <c r="G42" s="441"/>
    </row>
    <row r="43" spans="1:7" ht="12.75">
      <c r="A43" s="439"/>
      <c r="B43" s="440"/>
      <c r="C43" s="441"/>
      <c r="D43" s="441"/>
      <c r="E43" s="439"/>
      <c r="F43" s="441"/>
      <c r="G43" s="441"/>
    </row>
    <row r="44" spans="1:7" ht="12.75">
      <c r="A44" s="439"/>
      <c r="B44" s="440"/>
      <c r="C44" s="439"/>
      <c r="D44" s="439"/>
      <c r="E44" s="441"/>
      <c r="F44" s="439"/>
      <c r="G44" s="439"/>
    </row>
    <row r="45" spans="1:7" ht="12.75">
      <c r="A45" s="439"/>
      <c r="B45" s="440"/>
      <c r="C45" s="441"/>
      <c r="D45" s="441"/>
      <c r="E45" s="441"/>
      <c r="F45" s="441"/>
      <c r="G45" s="441"/>
    </row>
    <row r="46" spans="1:7" ht="12.75">
      <c r="A46" s="439"/>
      <c r="B46" s="440"/>
      <c r="C46" s="441"/>
      <c r="D46" s="441"/>
      <c r="E46" s="441"/>
      <c r="F46" s="441"/>
      <c r="G46" s="441"/>
    </row>
    <row r="47" spans="1:7" ht="12.75">
      <c r="A47" s="439"/>
      <c r="B47" s="440"/>
      <c r="C47" s="439"/>
      <c r="D47" s="439"/>
      <c r="E47" s="441"/>
      <c r="F47" s="441"/>
      <c r="G47" s="441"/>
    </row>
    <row r="48" spans="1:7" ht="12.75">
      <c r="A48" s="439"/>
      <c r="B48" s="440"/>
      <c r="C48" s="441"/>
      <c r="D48" s="441"/>
      <c r="E48" s="441"/>
      <c r="F48" s="441"/>
      <c r="G48" s="441"/>
    </row>
    <row r="49" spans="1:7" ht="12.75">
      <c r="A49" s="439"/>
      <c r="B49" s="440"/>
      <c r="C49" s="441"/>
      <c r="D49" s="441"/>
      <c r="E49" s="441"/>
      <c r="F49" s="441"/>
      <c r="G49" s="441"/>
    </row>
    <row r="50" spans="1:7" ht="12.75">
      <c r="A50" s="439"/>
      <c r="B50" s="440"/>
      <c r="C50" s="441"/>
      <c r="D50" s="441"/>
      <c r="E50" s="441"/>
      <c r="F50" s="441"/>
      <c r="G50" s="441"/>
    </row>
    <row r="51" spans="1:7" ht="12.75">
      <c r="A51" s="439"/>
      <c r="B51" s="440"/>
      <c r="C51" s="441"/>
      <c r="D51" s="441"/>
      <c r="E51" s="441"/>
      <c r="F51" s="441"/>
      <c r="G51" s="441"/>
    </row>
    <row r="52" spans="1:7" ht="12.75">
      <c r="A52" s="439"/>
      <c r="B52" s="440"/>
      <c r="C52" s="441"/>
      <c r="D52" s="441"/>
      <c r="E52" s="441"/>
      <c r="F52" s="441"/>
      <c r="G52" s="441"/>
    </row>
    <row r="53" spans="1:7" ht="12.75">
      <c r="A53" s="439"/>
      <c r="B53" s="440"/>
      <c r="C53" s="441"/>
      <c r="D53" s="441"/>
      <c r="E53" s="441"/>
      <c r="F53" s="441"/>
      <c r="G53" s="441"/>
    </row>
    <row r="54" spans="1:7" ht="12.75">
      <c r="A54" s="439"/>
      <c r="B54" s="440"/>
      <c r="C54" s="441"/>
      <c r="D54" s="441"/>
      <c r="E54" s="441"/>
      <c r="F54" s="441"/>
      <c r="G54" s="441"/>
    </row>
    <row r="55" spans="1:7" ht="12.75">
      <c r="A55" s="439"/>
      <c r="B55" s="440"/>
      <c r="C55" s="441"/>
      <c r="D55" s="441"/>
      <c r="E55" s="440"/>
      <c r="F55" s="441"/>
      <c r="G55" s="441"/>
    </row>
    <row r="56" spans="1:7" ht="12.75">
      <c r="A56" s="439"/>
      <c r="B56" s="440"/>
      <c r="C56" s="439"/>
      <c r="D56" s="439"/>
      <c r="E56" s="440"/>
      <c r="F56" s="440"/>
      <c r="G56" s="440"/>
    </row>
    <row r="57" spans="1:7" ht="12.75">
      <c r="A57" s="439"/>
      <c r="B57" s="440"/>
      <c r="C57" s="440"/>
      <c r="D57" s="440"/>
      <c r="E57" s="440"/>
      <c r="F57" s="440"/>
      <c r="G57" s="440"/>
    </row>
    <row r="58" spans="1:7" ht="12.75">
      <c r="A58" s="439"/>
      <c r="B58" s="440"/>
      <c r="C58" s="440"/>
      <c r="D58" s="440"/>
      <c r="E58" s="440"/>
      <c r="F58" s="440"/>
      <c r="G58" s="440"/>
    </row>
    <row r="59" spans="1:7" ht="12.75">
      <c r="A59" s="439"/>
      <c r="B59" s="440"/>
      <c r="C59" s="440"/>
      <c r="D59" s="440"/>
      <c r="E59" s="440"/>
      <c r="F59" s="440"/>
      <c r="G59" s="440"/>
    </row>
    <row r="60" spans="1:7" ht="12.75">
      <c r="A60" s="439"/>
      <c r="B60" s="440"/>
      <c r="C60" s="440"/>
      <c r="D60" s="440"/>
      <c r="E60" s="438"/>
      <c r="F60" s="440"/>
      <c r="G60" s="440"/>
    </row>
    <row r="61" spans="1:7" ht="12.75">
      <c r="A61" s="438"/>
      <c r="B61" s="438"/>
      <c r="C61" s="438"/>
      <c r="D61" s="438"/>
      <c r="E61" s="438"/>
      <c r="F61" s="438"/>
      <c r="G61" s="438"/>
    </row>
    <row r="62" spans="1:7" ht="12.75">
      <c r="A62" s="438"/>
      <c r="B62" s="438"/>
      <c r="C62" s="438"/>
      <c r="D62" s="438"/>
      <c r="E62" s="438"/>
      <c r="F62" s="438"/>
      <c r="G62" s="438"/>
    </row>
    <row r="63" spans="1:7" ht="12.75">
      <c r="A63" s="438"/>
      <c r="B63" s="438"/>
      <c r="C63" s="438"/>
      <c r="D63" s="438"/>
      <c r="E63" s="438"/>
      <c r="F63" s="438"/>
      <c r="G63" s="438"/>
    </row>
    <row r="64" spans="1:7" ht="12.75">
      <c r="A64" s="438"/>
      <c r="B64" s="438"/>
      <c r="C64" s="438"/>
      <c r="D64" s="438"/>
      <c r="E64" s="438"/>
      <c r="F64" s="438"/>
      <c r="G64" s="438"/>
    </row>
    <row r="65" spans="1:7" ht="12.75">
      <c r="A65" s="438"/>
      <c r="B65" s="438"/>
      <c r="C65" s="438"/>
      <c r="D65" s="438"/>
      <c r="E65" s="438"/>
      <c r="F65" s="438"/>
      <c r="G65" s="438"/>
    </row>
    <row r="66" spans="1:7" ht="12.75">
      <c r="A66" s="438"/>
      <c r="B66" s="438"/>
      <c r="C66" s="438"/>
      <c r="D66" s="438"/>
      <c r="E66" s="438"/>
      <c r="F66" s="438"/>
      <c r="G66" s="438"/>
    </row>
    <row r="67" spans="1:7" ht="12.75">
      <c r="A67" s="438"/>
      <c r="B67" s="438"/>
      <c r="C67" s="438"/>
      <c r="D67" s="438"/>
      <c r="E67" s="438"/>
      <c r="F67" s="438"/>
      <c r="G67" s="438"/>
    </row>
    <row r="68" spans="1:7" ht="12.75">
      <c r="A68" s="438"/>
      <c r="B68" s="438"/>
      <c r="C68" s="438"/>
      <c r="D68" s="438"/>
      <c r="E68" s="438"/>
      <c r="F68" s="438"/>
      <c r="G68" s="438"/>
    </row>
    <row r="69" spans="1:7" ht="12.75">
      <c r="A69" s="438"/>
      <c r="B69" s="438"/>
      <c r="C69" s="438"/>
      <c r="D69" s="438"/>
      <c r="E69" s="438"/>
      <c r="F69" s="438"/>
      <c r="G69" s="438"/>
    </row>
    <row r="70" spans="1:7" ht="12.75">
      <c r="A70" s="438"/>
      <c r="B70" s="438"/>
      <c r="C70" s="438"/>
      <c r="D70" s="438"/>
      <c r="E70" s="438"/>
      <c r="F70" s="438"/>
      <c r="G70" s="438"/>
    </row>
    <row r="71" spans="1:7" ht="12.75">
      <c r="A71" s="438"/>
      <c r="B71" s="438"/>
      <c r="C71" s="438"/>
      <c r="D71" s="438"/>
      <c r="E71" s="438"/>
      <c r="F71" s="438"/>
      <c r="G71" s="438"/>
    </row>
    <row r="72" spans="1:7" ht="12.75">
      <c r="A72" s="438"/>
      <c r="B72" s="438"/>
      <c r="C72" s="438"/>
      <c r="D72" s="438"/>
      <c r="E72" s="438"/>
      <c r="F72" s="438"/>
      <c r="G72" s="438"/>
    </row>
    <row r="73" spans="1:7" ht="12.75">
      <c r="A73" s="438"/>
      <c r="B73" s="438"/>
      <c r="C73" s="438"/>
      <c r="D73" s="438"/>
      <c r="E73" s="438"/>
      <c r="F73" s="438"/>
      <c r="G73" s="438"/>
    </row>
    <row r="74" spans="1:7" ht="12.75">
      <c r="A74" s="438"/>
      <c r="B74" s="438"/>
      <c r="C74" s="438"/>
      <c r="D74" s="438"/>
      <c r="E74" s="438"/>
      <c r="F74" s="438"/>
      <c r="G74" s="438"/>
    </row>
    <row r="75" spans="1:7" ht="12.75">
      <c r="A75" s="438"/>
      <c r="B75" s="438"/>
      <c r="C75" s="438"/>
      <c r="D75" s="438"/>
      <c r="E75" s="438"/>
      <c r="F75" s="438"/>
      <c r="G75" s="438"/>
    </row>
    <row r="76" spans="1:7" ht="12.75">
      <c r="A76" s="438"/>
      <c r="B76" s="438"/>
      <c r="C76" s="438"/>
      <c r="D76" s="438"/>
      <c r="E76" s="438"/>
      <c r="F76" s="438"/>
      <c r="G76" s="438"/>
    </row>
    <row r="77" spans="1:7" ht="12.75">
      <c r="A77" s="438"/>
      <c r="B77" s="438"/>
      <c r="C77" s="438"/>
      <c r="D77" s="438"/>
      <c r="E77" s="438"/>
      <c r="F77" s="438"/>
      <c r="G77" s="438"/>
    </row>
    <row r="78" spans="1:7" ht="12.75">
      <c r="A78" s="438"/>
      <c r="B78" s="438"/>
      <c r="C78" s="438"/>
      <c r="D78" s="438"/>
      <c r="E78" s="438"/>
      <c r="F78" s="438"/>
      <c r="G78" s="438"/>
    </row>
    <row r="79" spans="1:7" ht="12.75">
      <c r="A79" s="438"/>
      <c r="B79" s="438"/>
      <c r="C79" s="438"/>
      <c r="D79" s="438"/>
      <c r="E79" s="438"/>
      <c r="F79" s="438"/>
      <c r="G79" s="438"/>
    </row>
    <row r="80" spans="1:7" ht="12.75">
      <c r="A80" s="438"/>
      <c r="B80" s="438"/>
      <c r="C80" s="438"/>
      <c r="D80" s="438"/>
      <c r="E80" s="438"/>
      <c r="F80" s="438"/>
      <c r="G80" s="438"/>
    </row>
    <row r="81" spans="1:7" ht="12.75">
      <c r="A81" s="438"/>
      <c r="B81" s="438"/>
      <c r="C81" s="438"/>
      <c r="D81" s="438"/>
      <c r="E81" s="438"/>
      <c r="F81" s="438"/>
      <c r="G81" s="438"/>
    </row>
    <row r="82" spans="1:7" ht="12.75">
      <c r="A82" s="438"/>
      <c r="B82" s="438"/>
      <c r="C82" s="438"/>
      <c r="D82" s="438"/>
      <c r="E82" s="438"/>
      <c r="F82" s="438"/>
      <c r="G82" s="438"/>
    </row>
    <row r="83" spans="1:7" ht="12.75">
      <c r="A83" s="438"/>
      <c r="B83" s="438"/>
      <c r="C83" s="438"/>
      <c r="D83" s="438"/>
      <c r="E83" s="438"/>
      <c r="F83" s="438"/>
      <c r="G83" s="438"/>
    </row>
    <row r="84" spans="1:7" ht="12.75">
      <c r="A84" s="438"/>
      <c r="B84" s="438"/>
      <c r="C84" s="438"/>
      <c r="D84" s="438"/>
      <c r="E84" s="438"/>
      <c r="F84" s="438"/>
      <c r="G84" s="438"/>
    </row>
    <row r="85" spans="1:7" ht="12.75">
      <c r="A85" s="438"/>
      <c r="B85" s="438"/>
      <c r="C85" s="438"/>
      <c r="D85" s="438"/>
      <c r="E85" s="438"/>
      <c r="F85" s="438"/>
      <c r="G85" s="438"/>
    </row>
    <row r="86" spans="1:7" ht="12.75">
      <c r="A86" s="438"/>
      <c r="B86" s="438"/>
      <c r="C86" s="438"/>
      <c r="D86" s="438"/>
      <c r="E86" s="438"/>
      <c r="F86" s="438"/>
      <c r="G86" s="438"/>
    </row>
    <row r="87" spans="1:7" ht="12.75">
      <c r="A87" s="438"/>
      <c r="B87" s="438"/>
      <c r="C87" s="438"/>
      <c r="D87" s="438"/>
      <c r="E87" s="438"/>
      <c r="F87" s="438"/>
      <c r="G87" s="438"/>
    </row>
    <row r="88" spans="1:7" ht="12.75">
      <c r="A88" s="438"/>
      <c r="B88" s="438"/>
      <c r="C88" s="438"/>
      <c r="D88" s="438"/>
      <c r="E88" s="438"/>
      <c r="F88" s="438"/>
      <c r="G88" s="438"/>
    </row>
    <row r="89" spans="1:7" ht="12.75">
      <c r="A89" s="438"/>
      <c r="B89" s="438"/>
      <c r="C89" s="438"/>
      <c r="D89" s="438"/>
      <c r="E89" s="438"/>
      <c r="F89" s="438"/>
      <c r="G89" s="438"/>
    </row>
    <row r="90" spans="1:7" ht="12.75">
      <c r="A90" s="438"/>
      <c r="B90" s="438"/>
      <c r="C90" s="438"/>
      <c r="D90" s="438"/>
      <c r="E90" s="438"/>
      <c r="F90" s="438"/>
      <c r="G90" s="438"/>
    </row>
    <row r="91" spans="1:7" ht="12.75">
      <c r="A91" s="438"/>
      <c r="B91" s="438"/>
      <c r="C91" s="438"/>
      <c r="D91" s="438"/>
      <c r="E91" s="438"/>
      <c r="F91" s="438"/>
      <c r="G91" s="438"/>
    </row>
    <row r="92" spans="1:7" ht="12.75">
      <c r="A92" s="438"/>
      <c r="B92" s="438"/>
      <c r="C92" s="438"/>
      <c r="D92" s="438"/>
      <c r="E92" s="438"/>
      <c r="F92" s="438"/>
      <c r="G92" s="438"/>
    </row>
    <row r="93" spans="1:7" ht="12.75">
      <c r="A93" s="438"/>
      <c r="B93" s="438"/>
      <c r="C93" s="438"/>
      <c r="D93" s="438"/>
      <c r="E93" s="438"/>
      <c r="F93" s="438"/>
      <c r="G93" s="438"/>
    </row>
    <row r="94" spans="1:7" ht="12.75">
      <c r="A94" s="438"/>
      <c r="B94" s="438"/>
      <c r="C94" s="438"/>
      <c r="D94" s="438"/>
      <c r="E94" s="438"/>
      <c r="F94" s="438"/>
      <c r="G94" s="438"/>
    </row>
    <row r="95" spans="1:7" ht="12.75">
      <c r="A95" s="438"/>
      <c r="B95" s="438"/>
      <c r="C95" s="438"/>
      <c r="D95" s="438"/>
      <c r="E95" s="438"/>
      <c r="F95" s="438"/>
      <c r="G95" s="438"/>
    </row>
    <row r="96" spans="1:7" ht="12.75">
      <c r="A96" s="438"/>
      <c r="B96" s="438"/>
      <c r="C96" s="438"/>
      <c r="D96" s="438"/>
      <c r="E96" s="438"/>
      <c r="F96" s="438"/>
      <c r="G96" s="438"/>
    </row>
    <row r="97" spans="1:7" ht="12.75">
      <c r="A97" s="438"/>
      <c r="B97" s="438"/>
      <c r="C97" s="438"/>
      <c r="D97" s="438"/>
      <c r="E97" s="438"/>
      <c r="F97" s="438"/>
      <c r="G97" s="438"/>
    </row>
    <row r="98" spans="1:7" ht="12.75">
      <c r="A98" s="438"/>
      <c r="B98" s="438"/>
      <c r="C98" s="438"/>
      <c r="D98" s="438"/>
      <c r="E98" s="438"/>
      <c r="F98" s="438"/>
      <c r="G98" s="438"/>
    </row>
    <row r="99" spans="1:7" ht="12.75">
      <c r="A99" s="438"/>
      <c r="B99" s="438"/>
      <c r="C99" s="438"/>
      <c r="D99" s="438"/>
      <c r="E99" s="438"/>
      <c r="F99" s="438"/>
      <c r="G99" s="438"/>
    </row>
    <row r="100" spans="1:7" ht="12.75">
      <c r="A100" s="438"/>
      <c r="B100" s="438"/>
      <c r="C100" s="438"/>
      <c r="D100" s="438"/>
      <c r="E100" s="438"/>
      <c r="F100" s="438"/>
      <c r="G100" s="438"/>
    </row>
    <row r="101" spans="1:7" ht="12.75">
      <c r="A101" s="438"/>
      <c r="B101" s="438"/>
      <c r="C101" s="438"/>
      <c r="D101" s="438"/>
      <c r="E101" s="438"/>
      <c r="F101" s="438"/>
      <c r="G101" s="438"/>
    </row>
    <row r="102" spans="1:7" ht="12.75">
      <c r="A102" s="438"/>
      <c r="B102" s="438"/>
      <c r="C102" s="438"/>
      <c r="D102" s="438"/>
      <c r="E102" s="438"/>
      <c r="F102" s="438"/>
      <c r="G102" s="438"/>
    </row>
    <row r="103" spans="1:7" ht="12.75">
      <c r="A103" s="438"/>
      <c r="B103" s="438"/>
      <c r="C103" s="438"/>
      <c r="D103" s="438"/>
      <c r="E103" s="438"/>
      <c r="F103" s="438"/>
      <c r="G103" s="438"/>
    </row>
    <row r="104" spans="1:7" ht="12.75">
      <c r="A104" s="438"/>
      <c r="B104" s="438"/>
      <c r="C104" s="438"/>
      <c r="D104" s="438"/>
      <c r="E104" s="438"/>
      <c r="F104" s="438"/>
      <c r="G104" s="438"/>
    </row>
    <row r="105" spans="1:7" ht="12.75">
      <c r="A105" s="438"/>
      <c r="B105" s="438"/>
      <c r="C105" s="438"/>
      <c r="D105" s="438"/>
      <c r="E105" s="438"/>
      <c r="F105" s="438"/>
      <c r="G105" s="438"/>
    </row>
    <row r="106" spans="1:7" ht="12.75">
      <c r="A106" s="438"/>
      <c r="B106" s="438"/>
      <c r="C106" s="438"/>
      <c r="D106" s="438"/>
      <c r="E106" s="438"/>
      <c r="F106" s="438"/>
      <c r="G106" s="438"/>
    </row>
    <row r="107" spans="1:7" ht="12.75">
      <c r="A107" s="438"/>
      <c r="B107" s="438"/>
      <c r="C107" s="438"/>
      <c r="D107" s="438"/>
      <c r="E107" s="438"/>
      <c r="F107" s="438"/>
      <c r="G107" s="438"/>
    </row>
    <row r="108" spans="1:7" ht="12.75">
      <c r="A108" s="438"/>
      <c r="B108" s="438"/>
      <c r="C108" s="438"/>
      <c r="D108" s="438"/>
      <c r="E108" s="438"/>
      <c r="F108" s="438"/>
      <c r="G108" s="438"/>
    </row>
    <row r="109" spans="1:7" ht="12.75">
      <c r="A109" s="438"/>
      <c r="B109" s="438"/>
      <c r="C109" s="438"/>
      <c r="D109" s="438"/>
      <c r="E109" s="438"/>
      <c r="F109" s="438"/>
      <c r="G109" s="438"/>
    </row>
    <row r="110" spans="1:7" ht="12.75">
      <c r="A110" s="438"/>
      <c r="B110" s="438"/>
      <c r="C110" s="438"/>
      <c r="D110" s="438"/>
      <c r="E110" s="438"/>
      <c r="F110" s="438"/>
      <c r="G110" s="438"/>
    </row>
    <row r="111" spans="1:7" ht="12.75">
      <c r="A111" s="438"/>
      <c r="B111" s="438"/>
      <c r="C111" s="438"/>
      <c r="D111" s="438"/>
      <c r="E111" s="438"/>
      <c r="F111" s="438"/>
      <c r="G111" s="438"/>
    </row>
    <row r="112" spans="1:7" ht="12.75">
      <c r="A112" s="438"/>
      <c r="B112" s="438"/>
      <c r="C112" s="438"/>
      <c r="D112" s="438"/>
      <c r="E112" s="438"/>
      <c r="F112" s="438"/>
      <c r="G112" s="438"/>
    </row>
    <row r="113" spans="1:7" ht="12.75">
      <c r="A113" s="438"/>
      <c r="B113" s="438"/>
      <c r="C113" s="438"/>
      <c r="D113" s="438"/>
      <c r="E113" s="438"/>
      <c r="F113" s="438"/>
      <c r="G113" s="438"/>
    </row>
    <row r="114" spans="1:7" ht="12.75">
      <c r="A114" s="438"/>
      <c r="B114" s="438"/>
      <c r="C114" s="438"/>
      <c r="D114" s="438"/>
      <c r="E114" s="438"/>
      <c r="F114" s="438"/>
      <c r="G114" s="438"/>
    </row>
    <row r="115" spans="1:7" ht="12.75">
      <c r="A115" s="438"/>
      <c r="B115" s="438"/>
      <c r="C115" s="438"/>
      <c r="D115" s="438"/>
      <c r="E115" s="438"/>
      <c r="F115" s="438"/>
      <c r="G115" s="438"/>
    </row>
    <row r="116" spans="1:7" ht="12.75">
      <c r="A116" s="438"/>
      <c r="B116" s="438"/>
      <c r="C116" s="438"/>
      <c r="D116" s="438"/>
      <c r="E116" s="438"/>
      <c r="F116" s="438"/>
      <c r="G116" s="438"/>
    </row>
    <row r="117" spans="1:7" ht="12.75">
      <c r="A117" s="438"/>
      <c r="B117" s="438"/>
      <c r="C117" s="438"/>
      <c r="D117" s="438"/>
      <c r="E117" s="438"/>
      <c r="F117" s="438"/>
      <c r="G117" s="438"/>
    </row>
    <row r="118" spans="1:7" ht="12.75">
      <c r="A118" s="438"/>
      <c r="B118" s="438"/>
      <c r="C118" s="438"/>
      <c r="D118" s="438"/>
      <c r="E118" s="438"/>
      <c r="F118" s="438"/>
      <c r="G118" s="438"/>
    </row>
    <row r="119" spans="1:7" ht="12.75">
      <c r="A119" s="438"/>
      <c r="B119" s="438"/>
      <c r="C119" s="438"/>
      <c r="D119" s="438"/>
      <c r="E119" s="438"/>
      <c r="F119" s="438"/>
      <c r="G119" s="438"/>
    </row>
    <row r="120" spans="1:7" ht="12.75">
      <c r="A120" s="438"/>
      <c r="B120" s="438"/>
      <c r="C120" s="438"/>
      <c r="D120" s="438"/>
      <c r="E120" s="438"/>
      <c r="F120" s="438"/>
      <c r="G120" s="438"/>
    </row>
    <row r="121" spans="1:7" ht="12.75">
      <c r="A121" s="438"/>
      <c r="B121" s="438"/>
      <c r="C121" s="438"/>
      <c r="D121" s="438"/>
      <c r="E121" s="438"/>
      <c r="F121" s="438"/>
      <c r="G121" s="438"/>
    </row>
    <row r="122" spans="1:7" ht="12.75">
      <c r="A122" s="438"/>
      <c r="B122" s="438"/>
      <c r="C122" s="438"/>
      <c r="D122" s="438"/>
      <c r="E122" s="438"/>
      <c r="F122" s="438"/>
      <c r="G122" s="438"/>
    </row>
    <row r="123" spans="1:7" ht="12.75">
      <c r="A123" s="438"/>
      <c r="B123" s="438"/>
      <c r="C123" s="438"/>
      <c r="D123" s="438"/>
      <c r="E123" s="438"/>
      <c r="F123" s="438"/>
      <c r="G123" s="438"/>
    </row>
    <row r="124" spans="1:7" ht="12.75">
      <c r="A124" s="438"/>
      <c r="B124" s="438"/>
      <c r="C124" s="438"/>
      <c r="D124" s="438"/>
      <c r="E124" s="438"/>
      <c r="F124" s="438"/>
      <c r="G124" s="438"/>
    </row>
    <row r="125" spans="1:7" ht="12.75">
      <c r="A125" s="438"/>
      <c r="B125" s="438"/>
      <c r="C125" s="438"/>
      <c r="D125" s="438"/>
      <c r="E125" s="438"/>
      <c r="F125" s="438"/>
      <c r="G125" s="438"/>
    </row>
    <row r="126" spans="1:7" ht="12.75">
      <c r="A126" s="438"/>
      <c r="B126" s="438"/>
      <c r="C126" s="438"/>
      <c r="D126" s="438"/>
      <c r="E126" s="438"/>
      <c r="F126" s="438"/>
      <c r="G126" s="438"/>
    </row>
    <row r="127" spans="1:7" ht="12.75">
      <c r="A127" s="438"/>
      <c r="B127" s="438"/>
      <c r="C127" s="438"/>
      <c r="D127" s="438"/>
      <c r="E127" s="438"/>
      <c r="F127" s="438"/>
      <c r="G127" s="438"/>
    </row>
    <row r="128" spans="1:7" ht="12.75">
      <c r="A128" s="438"/>
      <c r="B128" s="438"/>
      <c r="C128" s="438"/>
      <c r="D128" s="438"/>
      <c r="E128" s="438"/>
      <c r="F128" s="438"/>
      <c r="G128" s="438"/>
    </row>
    <row r="129" spans="1:7" ht="12.75">
      <c r="A129" s="438"/>
      <c r="B129" s="438"/>
      <c r="C129" s="438"/>
      <c r="D129" s="438"/>
      <c r="E129" s="438"/>
      <c r="F129" s="438"/>
      <c r="G129" s="438"/>
    </row>
    <row r="130" spans="1:7" ht="12.75">
      <c r="A130" s="438"/>
      <c r="B130" s="438"/>
      <c r="C130" s="438"/>
      <c r="D130" s="438"/>
      <c r="E130" s="438"/>
      <c r="F130" s="438"/>
      <c r="G130" s="438"/>
    </row>
    <row r="131" spans="1:7" ht="12.75">
      <c r="A131" s="438"/>
      <c r="B131" s="438"/>
      <c r="C131" s="438"/>
      <c r="D131" s="438"/>
      <c r="E131" s="438"/>
      <c r="F131" s="438"/>
      <c r="G131" s="438"/>
    </row>
    <row r="132" spans="1:7" ht="12.75">
      <c r="A132" s="438"/>
      <c r="B132" s="438"/>
      <c r="C132" s="438"/>
      <c r="D132" s="438"/>
      <c r="E132" s="438"/>
      <c r="F132" s="438"/>
      <c r="G132" s="438"/>
    </row>
    <row r="133" spans="1:7" ht="12.75">
      <c r="A133" s="438"/>
      <c r="B133" s="438"/>
      <c r="C133" s="438"/>
      <c r="D133" s="438"/>
      <c r="E133" s="438"/>
      <c r="F133" s="438"/>
      <c r="G133" s="438"/>
    </row>
    <row r="134" spans="1:7" ht="12.75">
      <c r="A134" s="438"/>
      <c r="B134" s="438"/>
      <c r="C134" s="438"/>
      <c r="D134" s="438"/>
      <c r="E134" s="438"/>
      <c r="F134" s="438"/>
      <c r="G134" s="438"/>
    </row>
    <row r="135" spans="1:7" ht="12.75">
      <c r="A135" s="438"/>
      <c r="B135" s="438"/>
      <c r="C135" s="438"/>
      <c r="D135" s="438"/>
      <c r="E135" s="438"/>
      <c r="F135" s="438"/>
      <c r="G135" s="438"/>
    </row>
    <row r="136" spans="1:7" ht="12.75">
      <c r="A136" s="438"/>
      <c r="B136" s="438"/>
      <c r="C136" s="438"/>
      <c r="D136" s="438"/>
      <c r="E136" s="438"/>
      <c r="F136" s="438"/>
      <c r="G136" s="438"/>
    </row>
    <row r="137" spans="1:7" ht="12.75">
      <c r="A137" s="438"/>
      <c r="B137" s="438"/>
      <c r="C137" s="438"/>
      <c r="D137" s="438"/>
      <c r="E137" s="438"/>
      <c r="F137" s="438"/>
      <c r="G137" s="438"/>
    </row>
    <row r="138" spans="1:7" ht="12.75">
      <c r="A138" s="438"/>
      <c r="B138" s="438"/>
      <c r="C138" s="438"/>
      <c r="D138" s="438"/>
      <c r="E138" s="438"/>
      <c r="F138" s="438"/>
      <c r="G138" s="438"/>
    </row>
    <row r="139" spans="1:7" ht="12.75">
      <c r="A139" s="438"/>
      <c r="B139" s="438"/>
      <c r="C139" s="438"/>
      <c r="D139" s="438"/>
      <c r="E139" s="438"/>
      <c r="F139" s="438"/>
      <c r="G139" s="438"/>
    </row>
    <row r="140" spans="1:7" ht="12.75">
      <c r="A140" s="438"/>
      <c r="B140" s="438"/>
      <c r="C140" s="438"/>
      <c r="D140" s="438"/>
      <c r="E140" s="438"/>
      <c r="F140" s="438"/>
      <c r="G140" s="438"/>
    </row>
    <row r="141" spans="1:7" ht="12.75">
      <c r="A141" s="438"/>
      <c r="B141" s="438"/>
      <c r="C141" s="438"/>
      <c r="D141" s="438"/>
      <c r="E141" s="438"/>
      <c r="F141" s="438"/>
      <c r="G141" s="438"/>
    </row>
    <row r="142" spans="1:7" ht="12.75">
      <c r="A142" s="438"/>
      <c r="B142" s="438"/>
      <c r="C142" s="438"/>
      <c r="D142" s="438"/>
      <c r="E142" s="438"/>
      <c r="F142" s="438"/>
      <c r="G142" s="438"/>
    </row>
    <row r="143" spans="1:7" ht="12.75">
      <c r="A143" s="438"/>
      <c r="B143" s="438"/>
      <c r="C143" s="438"/>
      <c r="D143" s="438"/>
      <c r="E143" s="438"/>
      <c r="F143" s="438"/>
      <c r="G143" s="438"/>
    </row>
    <row r="144" spans="1:7" ht="12.75">
      <c r="A144" s="438"/>
      <c r="B144" s="438"/>
      <c r="C144" s="438"/>
      <c r="D144" s="438"/>
      <c r="E144" s="438"/>
      <c r="F144" s="438"/>
      <c r="G144" s="438"/>
    </row>
    <row r="145" spans="1:7" ht="12.75">
      <c r="A145" s="438"/>
      <c r="B145" s="438"/>
      <c r="C145" s="438"/>
      <c r="D145" s="438"/>
      <c r="E145" s="438"/>
      <c r="F145" s="438"/>
      <c r="G145" s="438"/>
    </row>
    <row r="146" spans="1:7" ht="12.75">
      <c r="A146" s="438"/>
      <c r="B146" s="438"/>
      <c r="C146" s="438"/>
      <c r="D146" s="438"/>
      <c r="E146" s="438"/>
      <c r="F146" s="438"/>
      <c r="G146" s="438"/>
    </row>
    <row r="147" spans="1:7" ht="12.75">
      <c r="A147" s="438"/>
      <c r="B147" s="438"/>
      <c r="C147" s="438"/>
      <c r="D147" s="438"/>
      <c r="E147" s="438"/>
      <c r="F147" s="438"/>
      <c r="G147" s="438"/>
    </row>
    <row r="148" spans="1:7" ht="12.75">
      <c r="A148" s="438"/>
      <c r="B148" s="438"/>
      <c r="C148" s="438"/>
      <c r="D148" s="438"/>
      <c r="E148" s="438"/>
      <c r="F148" s="438"/>
      <c r="G148" s="438"/>
    </row>
    <row r="149" spans="1:7" ht="12.75">
      <c r="A149" s="438"/>
      <c r="B149" s="438"/>
      <c r="C149" s="438"/>
      <c r="D149" s="438"/>
      <c r="E149" s="438"/>
      <c r="F149" s="438"/>
      <c r="G149" s="438"/>
    </row>
    <row r="150" spans="1:7" ht="12.75">
      <c r="A150" s="438"/>
      <c r="B150" s="438"/>
      <c r="C150" s="438"/>
      <c r="D150" s="438"/>
      <c r="E150" s="438"/>
      <c r="F150" s="438"/>
      <c r="G150" s="438"/>
    </row>
    <row r="151" spans="1:7" ht="12.75">
      <c r="A151" s="438"/>
      <c r="B151" s="438"/>
      <c r="C151" s="438"/>
      <c r="D151" s="438"/>
      <c r="E151" s="438"/>
      <c r="F151" s="438"/>
      <c r="G151" s="438"/>
    </row>
    <row r="152" spans="1:7" ht="12.75">
      <c r="A152" s="438"/>
      <c r="B152" s="438"/>
      <c r="C152" s="438"/>
      <c r="D152" s="438"/>
      <c r="E152" s="438"/>
      <c r="F152" s="438"/>
      <c r="G152" s="438"/>
    </row>
    <row r="153" spans="1:7" ht="12.75">
      <c r="A153" s="438"/>
      <c r="B153" s="438"/>
      <c r="C153" s="438"/>
      <c r="D153" s="438"/>
      <c r="E153" s="438"/>
      <c r="F153" s="438"/>
      <c r="G153" s="438"/>
    </row>
    <row r="154" spans="1:7" ht="12.75">
      <c r="A154" s="438"/>
      <c r="B154" s="438"/>
      <c r="C154" s="438"/>
      <c r="D154" s="438"/>
      <c r="E154" s="438"/>
      <c r="F154" s="438"/>
      <c r="G154" s="438"/>
    </row>
    <row r="155" spans="1:7" ht="12.75">
      <c r="A155" s="438"/>
      <c r="B155" s="438"/>
      <c r="C155" s="438"/>
      <c r="D155" s="438"/>
      <c r="E155" s="438"/>
      <c r="F155" s="438"/>
      <c r="G155" s="438"/>
    </row>
    <row r="156" spans="1:7" ht="12.75">
      <c r="A156" s="438"/>
      <c r="B156" s="438"/>
      <c r="C156" s="438"/>
      <c r="D156" s="438"/>
      <c r="E156" s="438"/>
      <c r="F156" s="438"/>
      <c r="G156" s="438"/>
    </row>
    <row r="157" spans="1:7" ht="12.75">
      <c r="A157" s="438"/>
      <c r="B157" s="438"/>
      <c r="C157" s="438"/>
      <c r="D157" s="438"/>
      <c r="E157" s="438"/>
      <c r="F157" s="438"/>
      <c r="G157" s="438"/>
    </row>
    <row r="158" spans="1:7" ht="12.75">
      <c r="A158" s="438"/>
      <c r="B158" s="438"/>
      <c r="C158" s="438"/>
      <c r="D158" s="438"/>
      <c r="E158" s="438"/>
      <c r="F158" s="438"/>
      <c r="G158" s="438"/>
    </row>
    <row r="159" spans="1:7" ht="12.75">
      <c r="A159" s="438"/>
      <c r="B159" s="438"/>
      <c r="C159" s="438"/>
      <c r="D159" s="438"/>
      <c r="E159" s="438"/>
      <c r="F159" s="438"/>
      <c r="G159" s="438"/>
    </row>
    <row r="160" spans="1:7" ht="12.75">
      <c r="A160" s="438"/>
      <c r="B160" s="438"/>
      <c r="C160" s="438"/>
      <c r="D160" s="438"/>
      <c r="E160" s="438"/>
      <c r="F160" s="438"/>
      <c r="G160" s="438"/>
    </row>
    <row r="161" spans="1:7" ht="12.75">
      <c r="A161" s="438"/>
      <c r="B161" s="438"/>
      <c r="C161" s="438"/>
      <c r="D161" s="438"/>
      <c r="E161" s="438"/>
      <c r="F161" s="438"/>
      <c r="G161" s="438"/>
    </row>
    <row r="162" spans="1:7" ht="12.75">
      <c r="A162" s="438"/>
      <c r="B162" s="438"/>
      <c r="C162" s="438"/>
      <c r="D162" s="438"/>
      <c r="E162" s="438"/>
      <c r="F162" s="438"/>
      <c r="G162" s="438"/>
    </row>
    <row r="163" spans="1:7" ht="12.75">
      <c r="A163" s="438"/>
      <c r="B163" s="438"/>
      <c r="C163" s="438"/>
      <c r="D163" s="438"/>
      <c r="E163" s="438"/>
      <c r="F163" s="438"/>
      <c r="G163" s="438"/>
    </row>
    <row r="164" spans="1:7" ht="12.75">
      <c r="A164" s="438"/>
      <c r="B164" s="438"/>
      <c r="C164" s="438"/>
      <c r="D164" s="438"/>
      <c r="E164" s="438"/>
      <c r="F164" s="438"/>
      <c r="G164" s="438"/>
    </row>
    <row r="165" spans="1:7" ht="12.75">
      <c r="A165" s="438"/>
      <c r="B165" s="438"/>
      <c r="C165" s="438"/>
      <c r="D165" s="438"/>
      <c r="E165" s="438"/>
      <c r="F165" s="438"/>
      <c r="G165" s="438"/>
    </row>
    <row r="166" spans="1:7" ht="12.75">
      <c r="A166" s="438"/>
      <c r="B166" s="438"/>
      <c r="C166" s="438"/>
      <c r="D166" s="438"/>
      <c r="E166" s="438"/>
      <c r="F166" s="438"/>
      <c r="G166" s="438"/>
    </row>
    <row r="167" spans="1:7" ht="12.75">
      <c r="A167" s="438"/>
      <c r="B167" s="438"/>
      <c r="C167" s="438"/>
      <c r="D167" s="438"/>
      <c r="E167" s="438"/>
      <c r="F167" s="438"/>
      <c r="G167" s="438"/>
    </row>
    <row r="168" spans="1:7" ht="12.75">
      <c r="A168" s="438"/>
      <c r="B168" s="438"/>
      <c r="C168" s="438"/>
      <c r="D168" s="438"/>
      <c r="E168" s="438"/>
      <c r="F168" s="438"/>
      <c r="G168" s="438"/>
    </row>
    <row r="169" spans="1:7" ht="12.75">
      <c r="A169" s="438"/>
      <c r="B169" s="438"/>
      <c r="C169" s="438"/>
      <c r="D169" s="438"/>
      <c r="E169" s="438"/>
      <c r="F169" s="438"/>
      <c r="G169" s="438"/>
    </row>
    <row r="170" spans="1:7" ht="12.75">
      <c r="A170" s="438"/>
      <c r="B170" s="438"/>
      <c r="C170" s="438"/>
      <c r="D170" s="438"/>
      <c r="E170" s="438"/>
      <c r="F170" s="438"/>
      <c r="G170" s="438"/>
    </row>
    <row r="171" spans="1:7" ht="12.75">
      <c r="A171" s="438"/>
      <c r="B171" s="438"/>
      <c r="C171" s="438"/>
      <c r="D171" s="438"/>
      <c r="E171" s="438"/>
      <c r="F171" s="438"/>
      <c r="G171" s="438"/>
    </row>
    <row r="172" spans="1:7" ht="12.75">
      <c r="A172" s="438"/>
      <c r="B172" s="438"/>
      <c r="C172" s="438"/>
      <c r="D172" s="438"/>
      <c r="E172" s="438"/>
      <c r="F172" s="438"/>
      <c r="G172" s="438"/>
    </row>
    <row r="173" spans="1:7" ht="12.75">
      <c r="A173" s="438"/>
      <c r="B173" s="438"/>
      <c r="C173" s="438"/>
      <c r="D173" s="438"/>
      <c r="E173" s="438"/>
      <c r="F173" s="438"/>
      <c r="G173" s="438"/>
    </row>
    <row r="174" spans="1:7" ht="12.75">
      <c r="A174" s="438"/>
      <c r="B174" s="438"/>
      <c r="C174" s="438"/>
      <c r="D174" s="438"/>
      <c r="E174" s="438"/>
      <c r="F174" s="438"/>
      <c r="G174" s="438"/>
    </row>
    <row r="175" spans="1:7" ht="12.75">
      <c r="A175" s="438"/>
      <c r="B175" s="438"/>
      <c r="C175" s="438"/>
      <c r="D175" s="438"/>
      <c r="E175" s="438"/>
      <c r="F175" s="438"/>
      <c r="G175" s="438"/>
    </row>
    <row r="176" spans="1:7" ht="12.75">
      <c r="A176" s="438"/>
      <c r="B176" s="438"/>
      <c r="C176" s="438"/>
      <c r="D176" s="438"/>
      <c r="E176" s="438"/>
      <c r="F176" s="438"/>
      <c r="G176" s="438"/>
    </row>
    <row r="177" spans="1:7" ht="12.75">
      <c r="A177" s="438"/>
      <c r="B177" s="438"/>
      <c r="C177" s="438"/>
      <c r="D177" s="438"/>
      <c r="E177" s="438"/>
      <c r="F177" s="438"/>
      <c r="G177" s="438"/>
    </row>
    <row r="178" spans="1:7" ht="12.75">
      <c r="A178" s="438"/>
      <c r="B178" s="438"/>
      <c r="C178" s="438"/>
      <c r="D178" s="438"/>
      <c r="E178" s="438"/>
      <c r="F178" s="438"/>
      <c r="G178" s="438"/>
    </row>
    <row r="179" spans="1:7" ht="12.75">
      <c r="A179" s="438"/>
      <c r="B179" s="438"/>
      <c r="C179" s="438"/>
      <c r="D179" s="438"/>
      <c r="E179" s="438"/>
      <c r="F179" s="438"/>
      <c r="G179" s="438"/>
    </row>
    <row r="180" spans="1:7" ht="12.75">
      <c r="A180" s="438"/>
      <c r="B180" s="438"/>
      <c r="C180" s="438"/>
      <c r="D180" s="438"/>
      <c r="E180" s="438"/>
      <c r="F180" s="438"/>
      <c r="G180" s="438"/>
    </row>
    <row r="181" spans="1:7" ht="12.75">
      <c r="A181" s="438"/>
      <c r="B181" s="438"/>
      <c r="C181" s="438"/>
      <c r="D181" s="438"/>
      <c r="E181" s="438"/>
      <c r="F181" s="438"/>
      <c r="G181" s="438"/>
    </row>
    <row r="182" spans="1:7" ht="12.75">
      <c r="A182" s="438"/>
      <c r="B182" s="438"/>
      <c r="C182" s="438"/>
      <c r="D182" s="438"/>
      <c r="E182" s="438"/>
      <c r="F182" s="438"/>
      <c r="G182" s="438"/>
    </row>
    <row r="183" spans="1:7" ht="12.75">
      <c r="A183" s="438"/>
      <c r="B183" s="438"/>
      <c r="C183" s="438"/>
      <c r="D183" s="438"/>
      <c r="E183" s="438"/>
      <c r="F183" s="438"/>
      <c r="G183" s="438"/>
    </row>
    <row r="184" spans="1:7" ht="12.75">
      <c r="A184" s="438"/>
      <c r="B184" s="438"/>
      <c r="C184" s="438"/>
      <c r="D184" s="438"/>
      <c r="E184" s="438"/>
      <c r="F184" s="438"/>
      <c r="G184" s="438"/>
    </row>
    <row r="185" spans="1:7" ht="12.75">
      <c r="A185" s="438"/>
      <c r="B185" s="438"/>
      <c r="C185" s="438"/>
      <c r="D185" s="438"/>
      <c r="E185" s="438"/>
      <c r="F185" s="438"/>
      <c r="G185" s="438"/>
    </row>
    <row r="186" spans="1:7" ht="12.75">
      <c r="A186" s="438"/>
      <c r="B186" s="438"/>
      <c r="C186" s="438"/>
      <c r="D186" s="438"/>
      <c r="E186" s="438"/>
      <c r="F186" s="438"/>
      <c r="G186" s="438"/>
    </row>
    <row r="187" spans="1:7" ht="12.75">
      <c r="A187" s="438"/>
      <c r="B187" s="438"/>
      <c r="C187" s="438"/>
      <c r="D187" s="438"/>
      <c r="E187" s="438"/>
      <c r="F187" s="438"/>
      <c r="G187" s="438"/>
    </row>
    <row r="188" spans="1:7" ht="12.75">
      <c r="A188" s="438"/>
      <c r="B188" s="438"/>
      <c r="C188" s="438"/>
      <c r="D188" s="438"/>
      <c r="E188" s="438"/>
      <c r="F188" s="438"/>
      <c r="G188" s="438"/>
    </row>
    <row r="189" spans="1:7" ht="12.75">
      <c r="A189" s="438"/>
      <c r="B189" s="438"/>
      <c r="C189" s="438"/>
      <c r="D189" s="438"/>
      <c r="E189" s="438"/>
      <c r="F189" s="438"/>
      <c r="G189" s="438"/>
    </row>
    <row r="190" spans="1:7" ht="12.75">
      <c r="A190" s="438"/>
      <c r="B190" s="438"/>
      <c r="C190" s="438"/>
      <c r="D190" s="438"/>
      <c r="E190" s="438"/>
      <c r="F190" s="438"/>
      <c r="G190" s="438"/>
    </row>
    <row r="191" spans="1:7" ht="12.75">
      <c r="A191" s="438"/>
      <c r="B191" s="438"/>
      <c r="C191" s="438"/>
      <c r="D191" s="438"/>
      <c r="E191" s="438"/>
      <c r="F191" s="438"/>
      <c r="G191" s="438"/>
    </row>
    <row r="192" spans="1:7" ht="12.75">
      <c r="A192" s="438"/>
      <c r="B192" s="438"/>
      <c r="C192" s="438"/>
      <c r="D192" s="438"/>
      <c r="E192" s="438"/>
      <c r="F192" s="438"/>
      <c r="G192" s="438"/>
    </row>
    <row r="193" spans="1:7" ht="12.75">
      <c r="A193" s="438"/>
      <c r="B193" s="438"/>
      <c r="C193" s="438"/>
      <c r="D193" s="438"/>
      <c r="E193" s="438"/>
      <c r="F193" s="438"/>
      <c r="G193" s="438"/>
    </row>
    <row r="194" spans="1:7" ht="12.75">
      <c r="A194" s="438"/>
      <c r="B194" s="438"/>
      <c r="C194" s="438"/>
      <c r="D194" s="438"/>
      <c r="E194" s="438"/>
      <c r="F194" s="438"/>
      <c r="G194" s="438"/>
    </row>
    <row r="195" spans="1:7" ht="12.75">
      <c r="A195" s="438"/>
      <c r="B195" s="438"/>
      <c r="C195" s="438"/>
      <c r="D195" s="438"/>
      <c r="E195" s="438"/>
      <c r="F195" s="438"/>
      <c r="G195" s="438"/>
    </row>
    <row r="196" spans="1:7" ht="12.75">
      <c r="A196" s="438"/>
      <c r="B196" s="438"/>
      <c r="C196" s="438"/>
      <c r="D196" s="438"/>
      <c r="E196" s="438"/>
      <c r="F196" s="438"/>
      <c r="G196" s="438"/>
    </row>
    <row r="197" spans="1:7" ht="12.75">
      <c r="A197" s="438"/>
      <c r="B197" s="438"/>
      <c r="C197" s="438"/>
      <c r="D197" s="438"/>
      <c r="E197" s="438"/>
      <c r="F197" s="438"/>
      <c r="G197" s="438"/>
    </row>
    <row r="198" spans="1:7" ht="12.75">
      <c r="A198" s="438"/>
      <c r="B198" s="438"/>
      <c r="C198" s="438"/>
      <c r="D198" s="438"/>
      <c r="E198" s="438"/>
      <c r="F198" s="438"/>
      <c r="G198" s="438"/>
    </row>
    <row r="199" spans="1:7" ht="12.75">
      <c r="A199" s="438"/>
      <c r="B199" s="438"/>
      <c r="C199" s="438"/>
      <c r="D199" s="438"/>
      <c r="E199" s="438"/>
      <c r="F199" s="438"/>
      <c r="G199" s="438"/>
    </row>
    <row r="200" spans="1:7" ht="12.75">
      <c r="A200" s="438"/>
      <c r="B200" s="438"/>
      <c r="C200" s="438"/>
      <c r="D200" s="438"/>
      <c r="E200" s="438"/>
      <c r="F200" s="438"/>
      <c r="G200" s="438"/>
    </row>
    <row r="201" spans="1:7" ht="12.75">
      <c r="A201" s="438"/>
      <c r="B201" s="438"/>
      <c r="C201" s="438"/>
      <c r="D201" s="438"/>
      <c r="E201" s="438"/>
      <c r="F201" s="438"/>
      <c r="G201" s="438"/>
    </row>
    <row r="202" spans="1:7" ht="12.75">
      <c r="A202" s="438"/>
      <c r="B202" s="438"/>
      <c r="C202" s="438"/>
      <c r="D202" s="438"/>
      <c r="E202" s="438"/>
      <c r="F202" s="438"/>
      <c r="G202" s="438"/>
    </row>
    <row r="203" spans="1:7" ht="12.75">
      <c r="A203" s="438"/>
      <c r="B203" s="438"/>
      <c r="C203" s="438"/>
      <c r="D203" s="438"/>
      <c r="E203" s="438"/>
      <c r="F203" s="438"/>
      <c r="G203" s="438"/>
    </row>
    <row r="204" spans="1:7" ht="12.75">
      <c r="A204" s="438"/>
      <c r="B204" s="438"/>
      <c r="C204" s="438"/>
      <c r="D204" s="438"/>
      <c r="E204" s="438"/>
      <c r="F204" s="438"/>
      <c r="G204" s="438"/>
    </row>
    <row r="205" spans="1:7" ht="12.75">
      <c r="A205" s="438"/>
      <c r="B205" s="438"/>
      <c r="C205" s="438"/>
      <c r="D205" s="438"/>
      <c r="E205" s="438"/>
      <c r="F205" s="438"/>
      <c r="G205" s="438"/>
    </row>
    <row r="206" spans="1:7" ht="12.75">
      <c r="A206" s="438"/>
      <c r="B206" s="438"/>
      <c r="C206" s="438"/>
      <c r="D206" s="438"/>
      <c r="E206" s="438"/>
      <c r="F206" s="438"/>
      <c r="G206" s="438"/>
    </row>
    <row r="207" spans="1:7" ht="12.75">
      <c r="A207" s="438"/>
      <c r="B207" s="438"/>
      <c r="C207" s="438"/>
      <c r="D207" s="438"/>
      <c r="E207" s="438"/>
      <c r="F207" s="438"/>
      <c r="G207" s="438"/>
    </row>
    <row r="208" spans="1:7" ht="12.75">
      <c r="A208" s="438"/>
      <c r="B208" s="438"/>
      <c r="C208" s="438"/>
      <c r="D208" s="438"/>
      <c r="E208" s="438"/>
      <c r="F208" s="438"/>
      <c r="G208" s="438"/>
    </row>
    <row r="209" spans="1:7" ht="12.75">
      <c r="A209" s="438"/>
      <c r="B209" s="438"/>
      <c r="C209" s="438"/>
      <c r="D209" s="438"/>
      <c r="E209" s="438"/>
      <c r="F209" s="438"/>
      <c r="G209" s="438"/>
    </row>
    <row r="210" spans="1:7" ht="12.75">
      <c r="A210" s="438"/>
      <c r="B210" s="438"/>
      <c r="C210" s="438"/>
      <c r="D210" s="438"/>
      <c r="E210" s="438"/>
      <c r="F210" s="438"/>
      <c r="G210" s="438"/>
    </row>
    <row r="211" spans="1:7" ht="12.75">
      <c r="A211" s="438"/>
      <c r="B211" s="438"/>
      <c r="C211" s="438"/>
      <c r="D211" s="438"/>
      <c r="E211" s="438"/>
      <c r="F211" s="438"/>
      <c r="G211" s="438"/>
    </row>
    <row r="212" spans="1:7" ht="12.75">
      <c r="A212" s="438"/>
      <c r="B212" s="438"/>
      <c r="C212" s="438"/>
      <c r="D212" s="438"/>
      <c r="E212" s="438"/>
      <c r="F212" s="438"/>
      <c r="G212" s="438"/>
    </row>
    <row r="213" spans="1:7" ht="12.75">
      <c r="A213" s="438"/>
      <c r="B213" s="438"/>
      <c r="C213" s="438"/>
      <c r="D213" s="438"/>
      <c r="E213" s="438"/>
      <c r="F213" s="438"/>
      <c r="G213" s="438"/>
    </row>
    <row r="214" spans="1:7" ht="12.75">
      <c r="A214" s="438"/>
      <c r="B214" s="438"/>
      <c r="C214" s="438"/>
      <c r="D214" s="438"/>
      <c r="E214" s="438"/>
      <c r="F214" s="438"/>
      <c r="G214" s="438"/>
    </row>
    <row r="215" spans="1:7" ht="12.75">
      <c r="A215" s="438"/>
      <c r="B215" s="438"/>
      <c r="C215" s="438"/>
      <c r="D215" s="438"/>
      <c r="E215" s="438"/>
      <c r="F215" s="438"/>
      <c r="G215" s="438"/>
    </row>
    <row r="216" spans="1:7" ht="12.75">
      <c r="A216" s="438"/>
      <c r="B216" s="438"/>
      <c r="C216" s="438"/>
      <c r="D216" s="438"/>
      <c r="E216" s="438"/>
      <c r="F216" s="438"/>
      <c r="G216" s="438"/>
    </row>
    <row r="217" spans="1:7" ht="12.75">
      <c r="A217" s="438"/>
      <c r="B217" s="438"/>
      <c r="C217" s="438"/>
      <c r="D217" s="438"/>
      <c r="E217" s="438"/>
      <c r="F217" s="438"/>
      <c r="G217" s="438"/>
    </row>
    <row r="218" spans="1:7" ht="12.75">
      <c r="A218" s="438"/>
      <c r="B218" s="438"/>
      <c r="C218" s="438"/>
      <c r="D218" s="438"/>
      <c r="E218" s="438"/>
      <c r="F218" s="438"/>
      <c r="G218" s="438"/>
    </row>
    <row r="219" spans="1:7" ht="12.75">
      <c r="A219" s="438"/>
      <c r="B219" s="438"/>
      <c r="C219" s="438"/>
      <c r="D219" s="438"/>
      <c r="E219" s="438"/>
      <c r="F219" s="438"/>
      <c r="G219" s="438"/>
    </row>
    <row r="220" spans="1:7" ht="12.75">
      <c r="A220" s="438"/>
      <c r="B220" s="438"/>
      <c r="C220" s="438"/>
      <c r="D220" s="438"/>
      <c r="E220" s="438"/>
      <c r="F220" s="438"/>
      <c r="G220" s="438"/>
    </row>
    <row r="221" spans="1:7" ht="12.75">
      <c r="A221" s="438"/>
      <c r="B221" s="438"/>
      <c r="C221" s="438"/>
      <c r="D221" s="438"/>
      <c r="E221" s="438"/>
      <c r="F221" s="438"/>
      <c r="G221" s="438"/>
    </row>
    <row r="222" spans="1:7" ht="12.75">
      <c r="A222" s="438"/>
      <c r="B222" s="438"/>
      <c r="C222" s="438"/>
      <c r="D222" s="438"/>
      <c r="E222" s="438"/>
      <c r="F222" s="438"/>
      <c r="G222" s="438"/>
    </row>
    <row r="223" spans="1:7" ht="12.75">
      <c r="A223" s="438"/>
      <c r="B223" s="438"/>
      <c r="C223" s="438"/>
      <c r="D223" s="438"/>
      <c r="E223" s="438"/>
      <c r="F223" s="438"/>
      <c r="G223" s="438"/>
    </row>
    <row r="224" spans="1:7" ht="12.75">
      <c r="A224" s="438"/>
      <c r="B224" s="438"/>
      <c r="C224" s="438"/>
      <c r="D224" s="438"/>
      <c r="E224" s="438"/>
      <c r="F224" s="438"/>
      <c r="G224" s="438"/>
    </row>
    <row r="225" spans="1:7" ht="12.75">
      <c r="A225" s="438"/>
      <c r="B225" s="438"/>
      <c r="C225" s="438"/>
      <c r="D225" s="438"/>
      <c r="E225" s="438"/>
      <c r="F225" s="438"/>
      <c r="G225" s="438"/>
    </row>
    <row r="226" spans="1:7" ht="12.75">
      <c r="A226" s="438"/>
      <c r="B226" s="438"/>
      <c r="C226" s="438"/>
      <c r="D226" s="438"/>
      <c r="E226" s="438"/>
      <c r="F226" s="438"/>
      <c r="G226" s="438"/>
    </row>
    <row r="227" spans="1:7" ht="12.75">
      <c r="A227" s="438"/>
      <c r="B227" s="438"/>
      <c r="C227" s="438"/>
      <c r="D227" s="438"/>
      <c r="E227" s="438"/>
      <c r="F227" s="438"/>
      <c r="G227" s="438"/>
    </row>
    <row r="228" spans="1:7" ht="12.75">
      <c r="A228" s="438"/>
      <c r="B228" s="438"/>
      <c r="C228" s="438"/>
      <c r="D228" s="438"/>
      <c r="E228" s="438"/>
      <c r="F228" s="438"/>
      <c r="G228" s="438"/>
    </row>
    <row r="229" spans="1:7" ht="12.75">
      <c r="A229" s="438"/>
      <c r="B229" s="438"/>
      <c r="C229" s="438"/>
      <c r="D229" s="438"/>
      <c r="E229" s="438"/>
      <c r="F229" s="438"/>
      <c r="G229" s="438"/>
    </row>
    <row r="230" spans="1:7" ht="12.75">
      <c r="A230" s="438"/>
      <c r="B230" s="438"/>
      <c r="C230" s="438"/>
      <c r="D230" s="438"/>
      <c r="E230" s="438"/>
      <c r="F230" s="438"/>
      <c r="G230" s="438"/>
    </row>
    <row r="231" spans="1:7" ht="12.75">
      <c r="A231" s="438"/>
      <c r="B231" s="438"/>
      <c r="C231" s="438"/>
      <c r="D231" s="438"/>
      <c r="E231" s="438"/>
      <c r="F231" s="438"/>
      <c r="G231" s="438"/>
    </row>
    <row r="232" spans="1:7" ht="12.75">
      <c r="A232" s="438"/>
      <c r="B232" s="438"/>
      <c r="C232" s="438"/>
      <c r="D232" s="438"/>
      <c r="E232" s="438"/>
      <c r="F232" s="438"/>
      <c r="G232" s="438"/>
    </row>
    <row r="233" spans="1:7" ht="12.75">
      <c r="A233" s="438"/>
      <c r="B233" s="438"/>
      <c r="C233" s="438"/>
      <c r="D233" s="438"/>
      <c r="E233" s="438"/>
      <c r="F233" s="438"/>
      <c r="G233" s="438"/>
    </row>
    <row r="234" spans="1:7" ht="12.75">
      <c r="A234" s="438"/>
      <c r="B234" s="438"/>
      <c r="C234" s="438"/>
      <c r="D234" s="438"/>
      <c r="E234" s="438"/>
      <c r="F234" s="438"/>
      <c r="G234" s="438"/>
    </row>
    <row r="235" spans="1:7" ht="12.75">
      <c r="A235" s="438"/>
      <c r="B235" s="438"/>
      <c r="C235" s="438"/>
      <c r="D235" s="438"/>
      <c r="E235" s="438"/>
      <c r="F235" s="438"/>
      <c r="G235" s="438"/>
    </row>
    <row r="236" spans="1:7" ht="12.75">
      <c r="A236" s="438"/>
      <c r="B236" s="438"/>
      <c r="C236" s="438"/>
      <c r="D236" s="438"/>
      <c r="E236" s="438"/>
      <c r="F236" s="438"/>
      <c r="G236" s="438"/>
    </row>
    <row r="237" spans="1:7" ht="12.75">
      <c r="A237" s="438"/>
      <c r="B237" s="438"/>
      <c r="C237" s="438"/>
      <c r="D237" s="438"/>
      <c r="E237" s="438"/>
      <c r="F237" s="438"/>
      <c r="G237" s="438"/>
    </row>
    <row r="238" spans="1:7" ht="12.75">
      <c r="A238" s="438"/>
      <c r="B238" s="438"/>
      <c r="C238" s="438"/>
      <c r="D238" s="438"/>
      <c r="E238" s="438"/>
      <c r="F238" s="438"/>
      <c r="G238" s="438"/>
    </row>
    <row r="239" spans="1:7" ht="12.75">
      <c r="A239" s="438"/>
      <c r="B239" s="438"/>
      <c r="C239" s="438"/>
      <c r="D239" s="438"/>
      <c r="E239" s="438"/>
      <c r="F239" s="438"/>
      <c r="G239" s="438"/>
    </row>
    <row r="240" spans="1:7" ht="12.75">
      <c r="A240" s="438"/>
      <c r="B240" s="438"/>
      <c r="C240" s="438"/>
      <c r="D240" s="438"/>
      <c r="E240" s="438"/>
      <c r="F240" s="438"/>
      <c r="G240" s="438"/>
    </row>
    <row r="241" spans="1:7" ht="12.75">
      <c r="A241" s="438"/>
      <c r="B241" s="438"/>
      <c r="C241" s="438"/>
      <c r="D241" s="438"/>
      <c r="E241" s="438"/>
      <c r="F241" s="438"/>
      <c r="G241" s="438"/>
    </row>
    <row r="242" spans="1:7" ht="12.75">
      <c r="A242" s="438"/>
      <c r="B242" s="438"/>
      <c r="C242" s="438"/>
      <c r="D242" s="438"/>
      <c r="E242" s="438"/>
      <c r="F242" s="438"/>
      <c r="G242" s="438"/>
    </row>
    <row r="243" spans="1:7" ht="12.75">
      <c r="A243" s="438"/>
      <c r="B243" s="438"/>
      <c r="C243" s="438"/>
      <c r="D243" s="438"/>
      <c r="E243" s="438"/>
      <c r="F243" s="438"/>
      <c r="G243" s="438"/>
    </row>
    <row r="244" spans="1:7" ht="12.75">
      <c r="A244" s="438"/>
      <c r="B244" s="438"/>
      <c r="C244" s="438"/>
      <c r="D244" s="438"/>
      <c r="E244" s="438"/>
      <c r="F244" s="438"/>
      <c r="G244" s="438"/>
    </row>
    <row r="245" spans="1:7" ht="12.75">
      <c r="A245" s="438"/>
      <c r="B245" s="438"/>
      <c r="C245" s="438"/>
      <c r="D245" s="438"/>
      <c r="E245" s="438"/>
      <c r="F245" s="438"/>
      <c r="G245" s="438"/>
    </row>
    <row r="246" spans="1:7" ht="12.75">
      <c r="A246" s="438"/>
      <c r="B246" s="438"/>
      <c r="C246" s="438"/>
      <c r="D246" s="438"/>
      <c r="E246" s="438"/>
      <c r="F246" s="438"/>
      <c r="G246" s="438"/>
    </row>
    <row r="247" spans="1:7" ht="12.75">
      <c r="A247" s="438"/>
      <c r="B247" s="438"/>
      <c r="C247" s="438"/>
      <c r="D247" s="438"/>
      <c r="E247" s="438"/>
      <c r="F247" s="438"/>
      <c r="G247" s="438"/>
    </row>
    <row r="248" spans="1:7" ht="12.75">
      <c r="A248" s="438"/>
      <c r="B248" s="438"/>
      <c r="C248" s="438"/>
      <c r="D248" s="438"/>
      <c r="E248" s="438"/>
      <c r="F248" s="438"/>
      <c r="G248" s="438"/>
    </row>
    <row r="249" spans="1:7" ht="12.75">
      <c r="A249" s="438"/>
      <c r="B249" s="438"/>
      <c r="C249" s="438"/>
      <c r="D249" s="438"/>
      <c r="E249" s="438"/>
      <c r="F249" s="438"/>
      <c r="G249" s="438"/>
    </row>
    <row r="250" spans="1:7" ht="12.75">
      <c r="A250" s="438"/>
      <c r="B250" s="438"/>
      <c r="C250" s="438"/>
      <c r="D250" s="438"/>
      <c r="E250" s="438"/>
      <c r="F250" s="438"/>
      <c r="G250" s="438"/>
    </row>
    <row r="251" spans="1:7" ht="12.75">
      <c r="A251" s="438"/>
      <c r="B251" s="438"/>
      <c r="C251" s="438"/>
      <c r="D251" s="438"/>
      <c r="E251" s="438"/>
      <c r="F251" s="438"/>
      <c r="G251" s="438"/>
    </row>
    <row r="252" spans="1:7" ht="12.75">
      <c r="A252" s="438"/>
      <c r="B252" s="438"/>
      <c r="C252" s="438"/>
      <c r="D252" s="438"/>
      <c r="E252" s="438"/>
      <c r="F252" s="438"/>
      <c r="G252" s="438"/>
    </row>
    <row r="253" spans="1:7" ht="12.75">
      <c r="A253" s="438"/>
      <c r="B253" s="438"/>
      <c r="C253" s="438"/>
      <c r="D253" s="438"/>
      <c r="E253" s="438"/>
      <c r="F253" s="438"/>
      <c r="G253" s="438"/>
    </row>
    <row r="254" spans="1:7" ht="12.75">
      <c r="A254" s="438"/>
      <c r="B254" s="438"/>
      <c r="C254" s="438"/>
      <c r="D254" s="438"/>
      <c r="E254" s="438"/>
      <c r="F254" s="438"/>
      <c r="G254" s="438"/>
    </row>
    <row r="255" spans="1:7" ht="12.75">
      <c r="A255" s="438"/>
      <c r="B255" s="438"/>
      <c r="C255" s="438"/>
      <c r="D255" s="438"/>
      <c r="E255" s="438"/>
      <c r="F255" s="438"/>
      <c r="G255" s="438"/>
    </row>
    <row r="256" spans="1:7" ht="12.75">
      <c r="A256" s="438"/>
      <c r="B256" s="438"/>
      <c r="C256" s="438"/>
      <c r="D256" s="438"/>
      <c r="E256" s="438"/>
      <c r="F256" s="438"/>
      <c r="G256" s="438"/>
    </row>
    <row r="257" spans="1:7" ht="12.75">
      <c r="A257" s="438"/>
      <c r="B257" s="438"/>
      <c r="C257" s="438"/>
      <c r="D257" s="438"/>
      <c r="E257" s="438"/>
      <c r="F257" s="438"/>
      <c r="G257" s="438"/>
    </row>
    <row r="258" spans="1:7" ht="12.75">
      <c r="A258" s="438"/>
      <c r="B258" s="438"/>
      <c r="C258" s="438"/>
      <c r="D258" s="438"/>
      <c r="E258" s="438"/>
      <c r="F258" s="438"/>
      <c r="G258" s="438"/>
    </row>
    <row r="259" spans="1:7" ht="12.75">
      <c r="A259" s="438"/>
      <c r="B259" s="438"/>
      <c r="C259" s="438"/>
      <c r="D259" s="438"/>
      <c r="E259" s="438"/>
      <c r="F259" s="438"/>
      <c r="G259" s="438"/>
    </row>
    <row r="260" spans="1:7" ht="12.75">
      <c r="A260" s="438"/>
      <c r="B260" s="438"/>
      <c r="C260" s="438"/>
      <c r="D260" s="438"/>
      <c r="E260" s="438"/>
      <c r="F260" s="438"/>
      <c r="G260" s="438"/>
    </row>
    <row r="261" spans="1:7" ht="12.75">
      <c r="A261" s="438"/>
      <c r="B261" s="438"/>
      <c r="C261" s="438"/>
      <c r="D261" s="438"/>
      <c r="E261" s="438"/>
      <c r="F261" s="438"/>
      <c r="G261" s="438"/>
    </row>
    <row r="262" spans="1:7" ht="12.75">
      <c r="A262" s="438"/>
      <c r="B262" s="438"/>
      <c r="C262" s="438"/>
      <c r="D262" s="438"/>
      <c r="E262" s="438"/>
      <c r="F262" s="438"/>
      <c r="G262" s="438"/>
    </row>
    <row r="263" spans="1:7" ht="12.75">
      <c r="A263" s="438"/>
      <c r="B263" s="438"/>
      <c r="C263" s="438"/>
      <c r="D263" s="438"/>
      <c r="E263" s="438"/>
      <c r="F263" s="438"/>
      <c r="G263" s="438"/>
    </row>
    <row r="264" spans="1:7" ht="12.75">
      <c r="A264" s="438"/>
      <c r="B264" s="438"/>
      <c r="C264" s="438"/>
      <c r="D264" s="438"/>
      <c r="E264" s="438"/>
      <c r="F264" s="438"/>
      <c r="G264" s="438"/>
    </row>
    <row r="265" spans="1:7" ht="12.75">
      <c r="A265" s="438"/>
      <c r="B265" s="438"/>
      <c r="C265" s="438"/>
      <c r="D265" s="438"/>
      <c r="E265" s="438"/>
      <c r="F265" s="438"/>
      <c r="G265" s="438"/>
    </row>
    <row r="266" spans="1:7" ht="12.75">
      <c r="A266" s="438"/>
      <c r="B266" s="438"/>
      <c r="C266" s="438"/>
      <c r="D266" s="438"/>
      <c r="E266" s="438"/>
      <c r="F266" s="438"/>
      <c r="G266" s="438"/>
    </row>
    <row r="267" spans="1:7" ht="12.75">
      <c r="A267" s="438"/>
      <c r="B267" s="438"/>
      <c r="C267" s="438"/>
      <c r="D267" s="438"/>
      <c r="E267" s="438"/>
      <c r="F267" s="438"/>
      <c r="G267" s="438"/>
    </row>
    <row r="268" spans="1:7" ht="12.75">
      <c r="A268" s="438"/>
      <c r="B268" s="438"/>
      <c r="C268" s="438"/>
      <c r="D268" s="438"/>
      <c r="E268" s="438"/>
      <c r="F268" s="438"/>
      <c r="G268" s="438"/>
    </row>
    <row r="269" spans="1:7" ht="12.75">
      <c r="A269" s="438"/>
      <c r="B269" s="438"/>
      <c r="C269" s="438"/>
      <c r="D269" s="438"/>
      <c r="E269" s="438"/>
      <c r="F269" s="438"/>
      <c r="G269" s="438"/>
    </row>
    <row r="270" spans="1:7" ht="12.75">
      <c r="A270" s="438"/>
      <c r="B270" s="438"/>
      <c r="C270" s="438"/>
      <c r="D270" s="438"/>
      <c r="E270" s="438"/>
      <c r="F270" s="438"/>
      <c r="G270" s="438"/>
    </row>
    <row r="271" spans="1:7" ht="12.75">
      <c r="A271" s="438"/>
      <c r="B271" s="438"/>
      <c r="C271" s="438"/>
      <c r="D271" s="438"/>
      <c r="E271" s="438"/>
      <c r="F271" s="438"/>
      <c r="G271" s="438"/>
    </row>
    <row r="272" spans="1:7" ht="12.75">
      <c r="A272" s="438"/>
      <c r="B272" s="438"/>
      <c r="C272" s="438"/>
      <c r="D272" s="438"/>
      <c r="E272" s="438"/>
      <c r="F272" s="438"/>
      <c r="G272" s="438"/>
    </row>
    <row r="273" spans="1:7" ht="12.75">
      <c r="A273" s="438"/>
      <c r="B273" s="438"/>
      <c r="C273" s="438"/>
      <c r="D273" s="438"/>
      <c r="E273" s="438"/>
      <c r="F273" s="438"/>
      <c r="G273" s="438"/>
    </row>
    <row r="274" spans="1:7" ht="12.75">
      <c r="A274" s="438"/>
      <c r="B274" s="438"/>
      <c r="C274" s="438"/>
      <c r="D274" s="438"/>
      <c r="E274" s="438"/>
      <c r="F274" s="438"/>
      <c r="G274" s="438"/>
    </row>
    <row r="275" spans="1:7" ht="12.75">
      <c r="A275" s="438"/>
      <c r="B275" s="438"/>
      <c r="C275" s="438"/>
      <c r="D275" s="438"/>
      <c r="E275" s="438"/>
      <c r="F275" s="438"/>
      <c r="G275" s="438"/>
    </row>
    <row r="276" spans="1:7" ht="12.75">
      <c r="A276" s="438"/>
      <c r="B276" s="438"/>
      <c r="C276" s="438"/>
      <c r="D276" s="438"/>
      <c r="E276" s="438"/>
      <c r="F276" s="438"/>
      <c r="G276" s="438"/>
    </row>
    <row r="277" spans="1:7" ht="12.75">
      <c r="A277" s="438"/>
      <c r="B277" s="438"/>
      <c r="C277" s="438"/>
      <c r="D277" s="438"/>
      <c r="E277" s="438"/>
      <c r="F277" s="438"/>
      <c r="G277" s="438"/>
    </row>
    <row r="278" spans="1:7" ht="12.75">
      <c r="A278" s="438"/>
      <c r="B278" s="438"/>
      <c r="C278" s="438"/>
      <c r="D278" s="438"/>
      <c r="E278" s="438"/>
      <c r="F278" s="438"/>
      <c r="G278" s="438"/>
    </row>
    <row r="279" spans="1:7" ht="12.75">
      <c r="A279" s="438"/>
      <c r="B279" s="438"/>
      <c r="C279" s="438"/>
      <c r="D279" s="438"/>
      <c r="E279" s="438"/>
      <c r="F279" s="438"/>
      <c r="G279" s="438"/>
    </row>
    <row r="280" spans="1:7" ht="12.75">
      <c r="A280" s="438"/>
      <c r="B280" s="438"/>
      <c r="C280" s="438"/>
      <c r="D280" s="438"/>
      <c r="E280" s="438"/>
      <c r="F280" s="438"/>
      <c r="G280" s="438"/>
    </row>
    <row r="281" spans="1:7" ht="12.75">
      <c r="A281" s="438"/>
      <c r="B281" s="438"/>
      <c r="C281" s="438"/>
      <c r="D281" s="438"/>
      <c r="E281" s="438"/>
      <c r="F281" s="438"/>
      <c r="G281" s="438"/>
    </row>
    <row r="282" spans="1:7" ht="12.75">
      <c r="A282" s="438"/>
      <c r="B282" s="438"/>
      <c r="C282" s="438"/>
      <c r="D282" s="438"/>
      <c r="E282" s="438"/>
      <c r="F282" s="438"/>
      <c r="G282" s="438"/>
    </row>
    <row r="283" spans="1:7" ht="12.75">
      <c r="A283" s="438"/>
      <c r="B283" s="438"/>
      <c r="C283" s="438"/>
      <c r="D283" s="438"/>
      <c r="E283" s="438"/>
      <c r="F283" s="438"/>
      <c r="G283" s="438"/>
    </row>
    <row r="284" spans="1:7" ht="12.75">
      <c r="A284" s="438"/>
      <c r="B284" s="438"/>
      <c r="C284" s="438"/>
      <c r="D284" s="438"/>
      <c r="E284" s="438"/>
      <c r="F284" s="438"/>
      <c r="G284" s="438"/>
    </row>
    <row r="285" spans="1:7" ht="12.75">
      <c r="A285" s="438"/>
      <c r="B285" s="438"/>
      <c r="C285" s="438"/>
      <c r="D285" s="438"/>
      <c r="E285" s="438"/>
      <c r="F285" s="438"/>
      <c r="G285" s="438"/>
    </row>
    <row r="286" spans="1:7" ht="12.75">
      <c r="A286" s="438"/>
      <c r="B286" s="438"/>
      <c r="C286" s="438"/>
      <c r="D286" s="438"/>
      <c r="E286" s="438"/>
      <c r="F286" s="438"/>
      <c r="G286" s="438"/>
    </row>
    <row r="287" spans="1:7" ht="12.75">
      <c r="A287" s="438"/>
      <c r="B287" s="438"/>
      <c r="C287" s="438"/>
      <c r="D287" s="438"/>
      <c r="E287" s="438"/>
      <c r="F287" s="438"/>
      <c r="G287" s="438"/>
    </row>
    <row r="288" spans="1:7" ht="12.75">
      <c r="A288" s="438"/>
      <c r="B288" s="438"/>
      <c r="C288" s="438"/>
      <c r="D288" s="438"/>
      <c r="E288" s="438"/>
      <c r="F288" s="438"/>
      <c r="G288" s="438"/>
    </row>
    <row r="289" spans="1:7" ht="12.75">
      <c r="A289" s="438"/>
      <c r="B289" s="438"/>
      <c r="C289" s="438"/>
      <c r="D289" s="438"/>
      <c r="E289" s="438"/>
      <c r="F289" s="438"/>
      <c r="G289" s="438"/>
    </row>
    <row r="290" spans="1:7" ht="12.75">
      <c r="A290" s="438"/>
      <c r="B290" s="438"/>
      <c r="C290" s="438"/>
      <c r="D290" s="438"/>
      <c r="E290" s="438"/>
      <c r="F290" s="438"/>
      <c r="G290" s="438"/>
    </row>
    <row r="291" spans="1:7" ht="12.75">
      <c r="A291" s="438"/>
      <c r="B291" s="438"/>
      <c r="C291" s="438"/>
      <c r="D291" s="438"/>
      <c r="E291" s="438"/>
      <c r="F291" s="438"/>
      <c r="G291" s="438"/>
    </row>
    <row r="292" spans="1:7" ht="12.75">
      <c r="A292" s="438"/>
      <c r="B292" s="438"/>
      <c r="C292" s="438"/>
      <c r="D292" s="438"/>
      <c r="E292" s="438"/>
      <c r="F292" s="438"/>
      <c r="G292" s="438"/>
    </row>
    <row r="293" spans="1:7" ht="12.75">
      <c r="A293" s="438"/>
      <c r="B293" s="438"/>
      <c r="C293" s="438"/>
      <c r="D293" s="438"/>
      <c r="E293" s="438"/>
      <c r="F293" s="438"/>
      <c r="G293" s="438"/>
    </row>
    <row r="294" spans="1:7" ht="12.75">
      <c r="A294" s="438"/>
      <c r="B294" s="438"/>
      <c r="C294" s="438"/>
      <c r="D294" s="438"/>
      <c r="E294" s="438"/>
      <c r="F294" s="438"/>
      <c r="G294" s="438"/>
    </row>
    <row r="295" spans="1:7" ht="12.75">
      <c r="A295" s="438"/>
      <c r="B295" s="438"/>
      <c r="C295" s="438"/>
      <c r="D295" s="438"/>
      <c r="E295" s="438"/>
      <c r="F295" s="438"/>
      <c r="G295" s="438"/>
    </row>
    <row r="296" spans="1:7" ht="12.75">
      <c r="A296" s="438"/>
      <c r="B296" s="438"/>
      <c r="C296" s="438"/>
      <c r="D296" s="438"/>
      <c r="E296" s="438"/>
      <c r="F296" s="438"/>
      <c r="G296" s="438"/>
    </row>
    <row r="297" spans="1:7" ht="12.75">
      <c r="A297" s="438"/>
      <c r="B297" s="438"/>
      <c r="C297" s="438"/>
      <c r="D297" s="438"/>
      <c r="E297" s="438"/>
      <c r="F297" s="438"/>
      <c r="G297" s="438"/>
    </row>
    <row r="298" spans="1:7" ht="12.75">
      <c r="A298" s="438"/>
      <c r="B298" s="438"/>
      <c r="C298" s="438"/>
      <c r="D298" s="438"/>
      <c r="E298" s="438"/>
      <c r="F298" s="438"/>
      <c r="G298" s="438"/>
    </row>
    <row r="299" spans="1:7" ht="12.75">
      <c r="A299" s="438"/>
      <c r="B299" s="438"/>
      <c r="C299" s="438"/>
      <c r="D299" s="438"/>
      <c r="E299" s="438"/>
      <c r="F299" s="438"/>
      <c r="G299" s="438"/>
    </row>
    <row r="300" spans="1:7" ht="12.75">
      <c r="A300" s="438"/>
      <c r="B300" s="438"/>
      <c r="C300" s="438"/>
      <c r="D300" s="438"/>
      <c r="E300" s="438"/>
      <c r="F300" s="438"/>
      <c r="G300" s="438"/>
    </row>
    <row r="301" spans="1:7" ht="12.75">
      <c r="A301" s="438"/>
      <c r="B301" s="438"/>
      <c r="C301" s="438"/>
      <c r="D301" s="438"/>
      <c r="E301" s="438"/>
      <c r="F301" s="438"/>
      <c r="G301" s="438"/>
    </row>
    <row r="302" spans="1:7" ht="12.75">
      <c r="A302" s="438"/>
      <c r="B302" s="438"/>
      <c r="C302" s="438"/>
      <c r="D302" s="438"/>
      <c r="E302" s="438"/>
      <c r="F302" s="438"/>
      <c r="G302" s="438"/>
    </row>
    <row r="303" spans="1:7" ht="12.75">
      <c r="A303" s="438"/>
      <c r="B303" s="438"/>
      <c r="C303" s="438"/>
      <c r="D303" s="438"/>
      <c r="E303" s="438"/>
      <c r="F303" s="438"/>
      <c r="G303" s="438"/>
    </row>
    <row r="304" spans="1:7" ht="12.75">
      <c r="A304" s="438"/>
      <c r="B304" s="438"/>
      <c r="C304" s="438"/>
      <c r="D304" s="438"/>
      <c r="E304" s="438"/>
      <c r="F304" s="438"/>
      <c r="G304" s="438"/>
    </row>
    <row r="305" spans="1:7" ht="12.75">
      <c r="A305" s="438"/>
      <c r="B305" s="438"/>
      <c r="C305" s="438"/>
      <c r="D305" s="438"/>
      <c r="E305" s="438"/>
      <c r="F305" s="438"/>
      <c r="G305" s="438"/>
    </row>
    <row r="306" spans="1:7" ht="12.75">
      <c r="A306" s="438"/>
      <c r="B306" s="438"/>
      <c r="C306" s="438"/>
      <c r="D306" s="438"/>
      <c r="E306" s="438"/>
      <c r="F306" s="438"/>
      <c r="G306" s="438"/>
    </row>
    <row r="307" spans="1:7" ht="12.75">
      <c r="A307" s="438"/>
      <c r="B307" s="438"/>
      <c r="C307" s="438"/>
      <c r="D307" s="438"/>
      <c r="E307" s="438"/>
      <c r="F307" s="438"/>
      <c r="G307" s="438"/>
    </row>
    <row r="308" spans="1:7" ht="12.75">
      <c r="A308" s="438"/>
      <c r="B308" s="438"/>
      <c r="C308" s="438"/>
      <c r="D308" s="438"/>
      <c r="E308" s="438"/>
      <c r="F308" s="438"/>
      <c r="G308" s="438"/>
    </row>
    <row r="309" spans="1:7" ht="12.75">
      <c r="A309" s="438"/>
      <c r="B309" s="438"/>
      <c r="C309" s="438"/>
      <c r="D309" s="438"/>
      <c r="E309" s="438"/>
      <c r="F309" s="438"/>
      <c r="G309" s="438"/>
    </row>
    <row r="310" spans="1:7" ht="12.75">
      <c r="A310" s="438"/>
      <c r="B310" s="438"/>
      <c r="C310" s="438"/>
      <c r="D310" s="438"/>
      <c r="E310" s="438"/>
      <c r="F310" s="438"/>
      <c r="G310" s="438"/>
    </row>
    <row r="311" spans="1:7" ht="12.75">
      <c r="A311" s="438"/>
      <c r="B311" s="438"/>
      <c r="C311" s="438"/>
      <c r="D311" s="438"/>
      <c r="E311" s="438"/>
      <c r="F311" s="438"/>
      <c r="G311" s="438"/>
    </row>
    <row r="312" spans="1:7" ht="12.75">
      <c r="A312" s="438"/>
      <c r="B312" s="438"/>
      <c r="C312" s="438"/>
      <c r="D312" s="438"/>
      <c r="E312" s="438"/>
      <c r="F312" s="438"/>
      <c r="G312" s="438"/>
    </row>
    <row r="313" spans="1:7" ht="12.75">
      <c r="A313" s="438"/>
      <c r="B313" s="438"/>
      <c r="C313" s="438"/>
      <c r="D313" s="438"/>
      <c r="E313" s="438"/>
      <c r="F313" s="438"/>
      <c r="G313" s="438"/>
    </row>
    <row r="314" spans="1:7" ht="12.75">
      <c r="A314" s="438"/>
      <c r="B314" s="438"/>
      <c r="C314" s="438"/>
      <c r="D314" s="438"/>
      <c r="E314" s="438"/>
      <c r="F314" s="438"/>
      <c r="G314" s="438"/>
    </row>
    <row r="315" spans="1:7" ht="12.75">
      <c r="A315" s="438"/>
      <c r="B315" s="438"/>
      <c r="C315" s="438"/>
      <c r="D315" s="438"/>
      <c r="E315" s="438"/>
      <c r="F315" s="438"/>
      <c r="G315" s="438"/>
    </row>
    <row r="316" spans="1:7" ht="12.75">
      <c r="A316" s="438"/>
      <c r="B316" s="438"/>
      <c r="C316" s="438"/>
      <c r="D316" s="438"/>
      <c r="E316" s="438"/>
      <c r="F316" s="438"/>
      <c r="G316" s="438"/>
    </row>
    <row r="317" spans="1:7" ht="12.75">
      <c r="A317" s="438"/>
      <c r="B317" s="438"/>
      <c r="C317" s="438"/>
      <c r="D317" s="438"/>
      <c r="E317" s="438"/>
      <c r="F317" s="438"/>
      <c r="G317" s="438"/>
    </row>
    <row r="318" spans="1:7" ht="12.75">
      <c r="A318" s="438"/>
      <c r="B318" s="438"/>
      <c r="C318" s="438"/>
      <c r="D318" s="438"/>
      <c r="E318" s="438"/>
      <c r="F318" s="438"/>
      <c r="G318" s="438"/>
    </row>
    <row r="319" spans="1:7" ht="12.75">
      <c r="A319" s="438"/>
      <c r="B319" s="438"/>
      <c r="C319" s="438"/>
      <c r="D319" s="438"/>
      <c r="E319" s="438"/>
      <c r="F319" s="438"/>
      <c r="G319" s="438"/>
    </row>
    <row r="320" spans="1:7" ht="12.75">
      <c r="A320" s="438"/>
      <c r="B320" s="438"/>
      <c r="C320" s="438"/>
      <c r="D320" s="438"/>
      <c r="E320" s="438"/>
      <c r="F320" s="438"/>
      <c r="G320" s="438"/>
    </row>
    <row r="321" spans="1:7" ht="12.75">
      <c r="A321" s="438"/>
      <c r="B321" s="438"/>
      <c r="C321" s="438"/>
      <c r="D321" s="438"/>
      <c r="E321" s="438"/>
      <c r="F321" s="438"/>
      <c r="G321" s="438"/>
    </row>
    <row r="322" spans="1:7" ht="12.75">
      <c r="A322" s="438"/>
      <c r="B322" s="438"/>
      <c r="C322" s="438"/>
      <c r="D322" s="438"/>
      <c r="E322" s="438"/>
      <c r="F322" s="438"/>
      <c r="G322" s="438"/>
    </row>
    <row r="323" spans="1:7" ht="12.75">
      <c r="A323" s="438"/>
      <c r="B323" s="438"/>
      <c r="C323" s="438"/>
      <c r="D323" s="438"/>
      <c r="E323" s="438"/>
      <c r="F323" s="438"/>
      <c r="G323" s="438"/>
    </row>
    <row r="324" spans="1:7" ht="12.75">
      <c r="A324" s="438"/>
      <c r="B324" s="438"/>
      <c r="C324" s="438"/>
      <c r="D324" s="438"/>
      <c r="E324" s="438"/>
      <c r="F324" s="438"/>
      <c r="G324" s="438"/>
    </row>
    <row r="325" spans="1:7" ht="12.75">
      <c r="A325" s="438"/>
      <c r="B325" s="438"/>
      <c r="C325" s="438"/>
      <c r="D325" s="438"/>
      <c r="E325" s="438"/>
      <c r="F325" s="438"/>
      <c r="G325" s="438"/>
    </row>
    <row r="326" spans="1:7" ht="12.75">
      <c r="A326" s="438"/>
      <c r="B326" s="438"/>
      <c r="C326" s="438"/>
      <c r="D326" s="438"/>
      <c r="E326" s="438"/>
      <c r="F326" s="438"/>
      <c r="G326" s="438"/>
    </row>
    <row r="327" spans="1:7" ht="12.75">
      <c r="A327" s="438"/>
      <c r="B327" s="438"/>
      <c r="C327" s="438"/>
      <c r="D327" s="438"/>
      <c r="E327" s="438"/>
      <c r="F327" s="438"/>
      <c r="G327" s="438"/>
    </row>
    <row r="328" spans="1:7" ht="12.75">
      <c r="A328" s="438"/>
      <c r="B328" s="438"/>
      <c r="C328" s="438"/>
      <c r="D328" s="438"/>
      <c r="E328" s="438"/>
      <c r="F328" s="438"/>
      <c r="G328" s="438"/>
    </row>
    <row r="329" spans="1:7" ht="12.75">
      <c r="A329" s="438"/>
      <c r="B329" s="438"/>
      <c r="C329" s="438"/>
      <c r="D329" s="438"/>
      <c r="E329" s="438"/>
      <c r="F329" s="438"/>
      <c r="G329" s="438"/>
    </row>
    <row r="330" spans="1:7" ht="12.75">
      <c r="A330" s="438"/>
      <c r="B330" s="438"/>
      <c r="C330" s="438"/>
      <c r="D330" s="438"/>
      <c r="E330" s="438"/>
      <c r="F330" s="438"/>
      <c r="G330" s="438"/>
    </row>
    <row r="331" spans="1:7" ht="12.75">
      <c r="A331" s="438"/>
      <c r="B331" s="438"/>
      <c r="C331" s="438"/>
      <c r="D331" s="438"/>
      <c r="E331" s="438"/>
      <c r="F331" s="438"/>
      <c r="G331" s="438"/>
    </row>
    <row r="332" spans="1:7" ht="12.75">
      <c r="A332" s="438"/>
      <c r="B332" s="438"/>
      <c r="C332" s="438"/>
      <c r="D332" s="438"/>
      <c r="E332" s="438"/>
      <c r="F332" s="438"/>
      <c r="G332" s="438"/>
    </row>
    <row r="333" spans="1:7" ht="12.75">
      <c r="A333" s="438"/>
      <c r="B333" s="438"/>
      <c r="C333" s="438"/>
      <c r="D333" s="438"/>
      <c r="E333" s="438"/>
      <c r="F333" s="438"/>
      <c r="G333" s="438"/>
    </row>
    <row r="334" spans="1:7" ht="12.75">
      <c r="A334" s="438"/>
      <c r="B334" s="438"/>
      <c r="C334" s="438"/>
      <c r="D334" s="438"/>
      <c r="E334" s="438"/>
      <c r="F334" s="438"/>
      <c r="G334" s="438"/>
    </row>
    <row r="335" spans="1:7" ht="12.75">
      <c r="A335" s="438"/>
      <c r="B335" s="438"/>
      <c r="C335" s="438"/>
      <c r="D335" s="438"/>
      <c r="E335" s="438"/>
      <c r="F335" s="438"/>
      <c r="G335" s="438"/>
    </row>
    <row r="336" spans="1:7" ht="12.75">
      <c r="A336" s="438"/>
      <c r="B336" s="438"/>
      <c r="C336" s="438"/>
      <c r="D336" s="438"/>
      <c r="E336" s="438"/>
      <c r="F336" s="438"/>
      <c r="G336" s="438"/>
    </row>
    <row r="337" spans="1:7" ht="12.75">
      <c r="A337" s="438"/>
      <c r="B337" s="438"/>
      <c r="C337" s="438"/>
      <c r="D337" s="438"/>
      <c r="E337" s="438"/>
      <c r="F337" s="438"/>
      <c r="G337" s="438"/>
    </row>
    <row r="338" spans="1:7" ht="12.75">
      <c r="A338" s="438"/>
      <c r="B338" s="438"/>
      <c r="C338" s="438"/>
      <c r="D338" s="438"/>
      <c r="E338" s="438"/>
      <c r="F338" s="438"/>
      <c r="G338" s="438"/>
    </row>
    <row r="339" spans="1:7" ht="12.75">
      <c r="A339" s="438"/>
      <c r="B339" s="438"/>
      <c r="C339" s="438"/>
      <c r="D339" s="438"/>
      <c r="E339" s="438"/>
      <c r="F339" s="438"/>
      <c r="G339" s="438"/>
    </row>
    <row r="340" spans="1:7" ht="12.75">
      <c r="A340" s="438"/>
      <c r="B340" s="438"/>
      <c r="C340" s="438"/>
      <c r="D340" s="438"/>
      <c r="E340" s="438"/>
      <c r="F340" s="438"/>
      <c r="G340" s="438"/>
    </row>
    <row r="341" spans="1:7" ht="12.75">
      <c r="A341" s="438"/>
      <c r="B341" s="438"/>
      <c r="C341" s="438"/>
      <c r="D341" s="438"/>
      <c r="E341" s="438"/>
      <c r="F341" s="438"/>
      <c r="G341" s="438"/>
    </row>
    <row r="342" spans="1:7" ht="12.75">
      <c r="A342" s="438"/>
      <c r="B342" s="438"/>
      <c r="C342" s="438"/>
      <c r="D342" s="438"/>
      <c r="E342" s="438"/>
      <c r="F342" s="438"/>
      <c r="G342" s="438"/>
    </row>
    <row r="343" spans="1:7" ht="12.75">
      <c r="A343" s="438"/>
      <c r="B343" s="438"/>
      <c r="C343" s="438"/>
      <c r="D343" s="438"/>
      <c r="E343" s="438"/>
      <c r="F343" s="438"/>
      <c r="G343" s="438"/>
    </row>
    <row r="344" spans="1:7" ht="12.75">
      <c r="A344" s="438"/>
      <c r="B344" s="438"/>
      <c r="C344" s="438"/>
      <c r="D344" s="438"/>
      <c r="E344" s="438"/>
      <c r="F344" s="438"/>
      <c r="G344" s="438"/>
    </row>
    <row r="345" spans="1:7" ht="12.75">
      <c r="A345" s="438"/>
      <c r="B345" s="438"/>
      <c r="C345" s="438"/>
      <c r="D345" s="438"/>
      <c r="E345" s="438"/>
      <c r="F345" s="438"/>
      <c r="G345" s="438"/>
    </row>
    <row r="346" spans="1:7" ht="12.75">
      <c r="A346" s="438"/>
      <c r="B346" s="438"/>
      <c r="C346" s="438"/>
      <c r="D346" s="438"/>
      <c r="E346" s="438"/>
      <c r="F346" s="438"/>
      <c r="G346" s="438"/>
    </row>
    <row r="347" spans="1:7" ht="12.75">
      <c r="A347" s="438"/>
      <c r="B347" s="438"/>
      <c r="C347" s="438"/>
      <c r="D347" s="438"/>
      <c r="E347" s="438"/>
      <c r="F347" s="438"/>
      <c r="G347" s="438"/>
    </row>
    <row r="348" spans="1:7" ht="12.75">
      <c r="A348" s="438"/>
      <c r="B348" s="438"/>
      <c r="C348" s="438"/>
      <c r="D348" s="438"/>
      <c r="E348" s="438"/>
      <c r="F348" s="438"/>
      <c r="G348" s="438"/>
    </row>
    <row r="349" spans="1:7" ht="12.75">
      <c r="A349" s="438"/>
      <c r="B349" s="438"/>
      <c r="C349" s="438"/>
      <c r="D349" s="438"/>
      <c r="E349" s="438"/>
      <c r="F349" s="438"/>
      <c r="G349" s="438"/>
    </row>
    <row r="350" spans="1:7" ht="12.75">
      <c r="A350" s="438"/>
      <c r="B350" s="438"/>
      <c r="C350" s="438"/>
      <c r="D350" s="438"/>
      <c r="E350" s="438"/>
      <c r="F350" s="438"/>
      <c r="G350" s="438"/>
    </row>
    <row r="351" spans="1:7" ht="12.75">
      <c r="A351" s="438"/>
      <c r="B351" s="438"/>
      <c r="C351" s="438"/>
      <c r="D351" s="438"/>
      <c r="E351" s="438"/>
      <c r="F351" s="438"/>
      <c r="G351" s="438"/>
    </row>
    <row r="352" spans="1:7" ht="12.75">
      <c r="A352" s="438"/>
      <c r="B352" s="438"/>
      <c r="C352" s="438"/>
      <c r="D352" s="438"/>
      <c r="E352" s="438"/>
      <c r="F352" s="438"/>
      <c r="G352" s="438"/>
    </row>
    <row r="353" spans="1:7" ht="12.75">
      <c r="A353" s="438"/>
      <c r="B353" s="438"/>
      <c r="C353" s="438"/>
      <c r="D353" s="438"/>
      <c r="E353" s="438"/>
      <c r="F353" s="438"/>
      <c r="G353" s="438"/>
    </row>
    <row r="354" spans="1:7" ht="12.75">
      <c r="A354" s="438"/>
      <c r="B354" s="438"/>
      <c r="C354" s="438"/>
      <c r="D354" s="438"/>
      <c r="E354" s="438"/>
      <c r="F354" s="438"/>
      <c r="G354" s="438"/>
    </row>
    <row r="355" spans="1:7" ht="12.75">
      <c r="A355" s="438"/>
      <c r="B355" s="438"/>
      <c r="C355" s="438"/>
      <c r="D355" s="438"/>
      <c r="E355" s="438"/>
      <c r="F355" s="438"/>
      <c r="G355" s="438"/>
    </row>
    <row r="356" spans="1:7" ht="12.75">
      <c r="A356" s="438"/>
      <c r="B356" s="438"/>
      <c r="C356" s="438"/>
      <c r="D356" s="438"/>
      <c r="E356" s="438"/>
      <c r="F356" s="438"/>
      <c r="G356" s="438"/>
    </row>
    <row r="357" spans="1:7" ht="12.75">
      <c r="A357" s="438"/>
      <c r="B357" s="438"/>
      <c r="C357" s="438"/>
      <c r="D357" s="438"/>
      <c r="E357" s="438"/>
      <c r="F357" s="438"/>
      <c r="G357" s="438"/>
    </row>
    <row r="358" spans="1:7" ht="12.75">
      <c r="A358" s="438"/>
      <c r="B358" s="438"/>
      <c r="C358" s="438"/>
      <c r="D358" s="438"/>
      <c r="E358" s="438"/>
      <c r="F358" s="438"/>
      <c r="G358" s="438"/>
    </row>
    <row r="359" spans="1:7" ht="12.75">
      <c r="A359" s="438"/>
      <c r="B359" s="438"/>
      <c r="C359" s="438"/>
      <c r="D359" s="438"/>
      <c r="E359" s="438"/>
      <c r="F359" s="438"/>
      <c r="G359" s="438"/>
    </row>
    <row r="360" spans="1:7" ht="12.75">
      <c r="A360" s="438"/>
      <c r="B360" s="438"/>
      <c r="C360" s="438"/>
      <c r="D360" s="438"/>
      <c r="E360" s="438"/>
      <c r="F360" s="438"/>
      <c r="G360" s="438"/>
    </row>
    <row r="361" spans="1:7" ht="12.75">
      <c r="A361" s="438"/>
      <c r="B361" s="438"/>
      <c r="C361" s="438"/>
      <c r="D361" s="438"/>
      <c r="E361" s="438"/>
      <c r="F361" s="438"/>
      <c r="G361" s="438"/>
    </row>
    <row r="362" spans="1:7" ht="12.75">
      <c r="A362" s="438"/>
      <c r="B362" s="438"/>
      <c r="C362" s="438"/>
      <c r="D362" s="438"/>
      <c r="E362" s="438"/>
      <c r="F362" s="438"/>
      <c r="G362" s="438"/>
    </row>
    <row r="363" spans="1:7" ht="12.75">
      <c r="A363" s="438"/>
      <c r="B363" s="438"/>
      <c r="C363" s="438"/>
      <c r="D363" s="438"/>
      <c r="E363" s="438"/>
      <c r="F363" s="438"/>
      <c r="G363" s="438"/>
    </row>
    <row r="364" spans="1:7" ht="12.75">
      <c r="A364" s="438"/>
      <c r="B364" s="438"/>
      <c r="C364" s="438"/>
      <c r="D364" s="438"/>
      <c r="E364" s="438"/>
      <c r="F364" s="438"/>
      <c r="G364" s="438"/>
    </row>
    <row r="365" spans="1:7" ht="12.75">
      <c r="A365" s="438"/>
      <c r="B365" s="438"/>
      <c r="C365" s="438"/>
      <c r="D365" s="438"/>
      <c r="E365" s="438"/>
      <c r="F365" s="438"/>
      <c r="G365" s="438"/>
    </row>
    <row r="366" spans="1:7" ht="12.75">
      <c r="A366" s="438"/>
      <c r="B366" s="438"/>
      <c r="C366" s="438"/>
      <c r="D366" s="438"/>
      <c r="E366" s="438"/>
      <c r="F366" s="438"/>
      <c r="G366" s="438"/>
    </row>
    <row r="367" spans="1:7" ht="12.75">
      <c r="A367" s="438"/>
      <c r="B367" s="438"/>
      <c r="C367" s="438"/>
      <c r="D367" s="438"/>
      <c r="E367" s="438"/>
      <c r="F367" s="438"/>
      <c r="G367" s="438"/>
    </row>
    <row r="368" spans="1:7" ht="12.75">
      <c r="A368" s="438"/>
      <c r="B368" s="438"/>
      <c r="C368" s="438"/>
      <c r="D368" s="438"/>
      <c r="E368" s="438"/>
      <c r="F368" s="438"/>
      <c r="G368" s="438"/>
    </row>
    <row r="369" spans="1:7" ht="12.75">
      <c r="A369" s="438"/>
      <c r="B369" s="438"/>
      <c r="C369" s="438"/>
      <c r="D369" s="438"/>
      <c r="E369" s="438"/>
      <c r="F369" s="438"/>
      <c r="G369" s="438"/>
    </row>
    <row r="370" spans="1:7" ht="12.75">
      <c r="A370" s="438"/>
      <c r="B370" s="438"/>
      <c r="C370" s="438"/>
      <c r="D370" s="438"/>
      <c r="E370" s="438"/>
      <c r="F370" s="438"/>
      <c r="G370" s="438"/>
    </row>
    <row r="371" spans="1:7" ht="12.75">
      <c r="A371" s="438"/>
      <c r="B371" s="438"/>
      <c r="C371" s="438"/>
      <c r="D371" s="438"/>
      <c r="E371" s="438"/>
      <c r="F371" s="438"/>
      <c r="G371" s="438"/>
    </row>
    <row r="372" spans="1:7" ht="12.75">
      <c r="A372" s="438"/>
      <c r="B372" s="438"/>
      <c r="C372" s="438"/>
      <c r="D372" s="438"/>
      <c r="E372" s="438"/>
      <c r="F372" s="438"/>
      <c r="G372" s="438"/>
    </row>
    <row r="373" spans="1:7" ht="12.75">
      <c r="A373" s="438"/>
      <c r="B373" s="438"/>
      <c r="C373" s="438"/>
      <c r="D373" s="438"/>
      <c r="E373" s="438"/>
      <c r="F373" s="438"/>
      <c r="G373" s="438"/>
    </row>
    <row r="374" spans="1:7" ht="12.75">
      <c r="A374" s="438"/>
      <c r="B374" s="438"/>
      <c r="C374" s="438"/>
      <c r="D374" s="438"/>
      <c r="E374" s="438"/>
      <c r="F374" s="438"/>
      <c r="G374" s="438"/>
    </row>
    <row r="375" spans="1:7" ht="12.75">
      <c r="A375" s="438"/>
      <c r="B375" s="438"/>
      <c r="C375" s="438"/>
      <c r="D375" s="438"/>
      <c r="E375" s="438"/>
      <c r="F375" s="438"/>
      <c r="G375" s="438"/>
    </row>
    <row r="376" spans="1:7" ht="12.75">
      <c r="A376" s="438"/>
      <c r="B376" s="438"/>
      <c r="C376" s="438"/>
      <c r="D376" s="438"/>
      <c r="E376" s="438"/>
      <c r="F376" s="438"/>
      <c r="G376" s="438"/>
    </row>
    <row r="377" spans="1:7" ht="12.75">
      <c r="A377" s="438"/>
      <c r="B377" s="438"/>
      <c r="C377" s="438"/>
      <c r="D377" s="438"/>
      <c r="E377" s="438"/>
      <c r="F377" s="438"/>
      <c r="G377" s="438"/>
    </row>
    <row r="378" spans="1:7" ht="12.75">
      <c r="A378" s="438"/>
      <c r="B378" s="438"/>
      <c r="C378" s="438"/>
      <c r="D378" s="438"/>
      <c r="E378" s="438"/>
      <c r="F378" s="438"/>
      <c r="G378" s="438"/>
    </row>
    <row r="379" spans="1:7" ht="12.75">
      <c r="A379" s="438"/>
      <c r="B379" s="438"/>
      <c r="C379" s="438"/>
      <c r="D379" s="438"/>
      <c r="E379" s="438"/>
      <c r="F379" s="438"/>
      <c r="G379" s="438"/>
    </row>
    <row r="380" spans="1:7" ht="12.75">
      <c r="A380" s="438"/>
      <c r="B380" s="438"/>
      <c r="C380" s="438"/>
      <c r="D380" s="438"/>
      <c r="E380" s="438"/>
      <c r="F380" s="438"/>
      <c r="G380" s="438"/>
    </row>
    <row r="381" spans="1:7" ht="12.75">
      <c r="A381" s="438"/>
      <c r="B381" s="438"/>
      <c r="C381" s="438"/>
      <c r="D381" s="438"/>
      <c r="E381" s="438"/>
      <c r="F381" s="438"/>
      <c r="G381" s="438"/>
    </row>
    <row r="382" spans="1:7" ht="12.75">
      <c r="A382" s="438"/>
      <c r="B382" s="438"/>
      <c r="C382" s="438"/>
      <c r="D382" s="438"/>
      <c r="E382" s="438"/>
      <c r="F382" s="438"/>
      <c r="G382" s="438"/>
    </row>
    <row r="383" spans="1:7" ht="12.75">
      <c r="A383" s="438"/>
      <c r="B383" s="438"/>
      <c r="C383" s="438"/>
      <c r="D383" s="438"/>
      <c r="E383" s="438"/>
      <c r="F383" s="438"/>
      <c r="G383" s="438"/>
    </row>
    <row r="384" spans="1:7" ht="12.75">
      <c r="A384" s="438"/>
      <c r="B384" s="438"/>
      <c r="C384" s="438"/>
      <c r="D384" s="438"/>
      <c r="E384" s="438"/>
      <c r="F384" s="438"/>
      <c r="G384" s="438"/>
    </row>
    <row r="385" spans="1:7" ht="12.75">
      <c r="A385" s="438"/>
      <c r="B385" s="438"/>
      <c r="C385" s="438"/>
      <c r="D385" s="438"/>
      <c r="E385" s="438"/>
      <c r="F385" s="438"/>
      <c r="G385" s="438"/>
    </row>
    <row r="386" spans="1:7" ht="12.75">
      <c r="A386" s="438"/>
      <c r="B386" s="438"/>
      <c r="C386" s="438"/>
      <c r="D386" s="438"/>
      <c r="E386" s="438"/>
      <c r="F386" s="438"/>
      <c r="G386" s="438"/>
    </row>
    <row r="387" spans="1:7" ht="12.75">
      <c r="A387" s="438"/>
      <c r="B387" s="438"/>
      <c r="C387" s="438"/>
      <c r="D387" s="438"/>
      <c r="E387" s="438"/>
      <c r="F387" s="438"/>
      <c r="G387" s="438"/>
    </row>
    <row r="388" spans="1:7" ht="12.75">
      <c r="A388" s="438"/>
      <c r="B388" s="438"/>
      <c r="C388" s="438"/>
      <c r="D388" s="438"/>
      <c r="E388" s="438"/>
      <c r="F388" s="438"/>
      <c r="G388" s="438"/>
    </row>
    <row r="389" spans="1:7" ht="12.75">
      <c r="A389" s="438"/>
      <c r="B389" s="438"/>
      <c r="C389" s="438"/>
      <c r="D389" s="438"/>
      <c r="E389" s="438"/>
      <c r="F389" s="438"/>
      <c r="G389" s="438"/>
    </row>
    <row r="390" spans="1:7" ht="12.75">
      <c r="A390" s="438"/>
      <c r="B390" s="438"/>
      <c r="C390" s="438"/>
      <c r="D390" s="438"/>
      <c r="E390" s="438"/>
      <c r="F390" s="438"/>
      <c r="G390" s="438"/>
    </row>
    <row r="391" spans="1:7" ht="12.75">
      <c r="A391" s="438"/>
      <c r="B391" s="438"/>
      <c r="C391" s="438"/>
      <c r="D391" s="438"/>
      <c r="E391" s="438"/>
      <c r="F391" s="438"/>
      <c r="G391" s="438"/>
    </row>
    <row r="392" spans="1:7" ht="12.75">
      <c r="A392" s="438"/>
      <c r="B392" s="438"/>
      <c r="C392" s="438"/>
      <c r="D392" s="438"/>
      <c r="E392" s="438"/>
      <c r="F392" s="438"/>
      <c r="G392" s="438"/>
    </row>
    <row r="393" spans="1:7" ht="12.75">
      <c r="A393" s="438"/>
      <c r="B393" s="438"/>
      <c r="C393" s="438"/>
      <c r="D393" s="438"/>
      <c r="E393" s="438"/>
      <c r="F393" s="438"/>
      <c r="G393" s="438"/>
    </row>
    <row r="394" spans="1:7" ht="12.75">
      <c r="A394" s="438"/>
      <c r="B394" s="438"/>
      <c r="C394" s="438"/>
      <c r="D394" s="438"/>
      <c r="E394" s="438"/>
      <c r="F394" s="438"/>
      <c r="G394" s="438"/>
    </row>
    <row r="395" spans="1:7" ht="12.75">
      <c r="A395" s="438"/>
      <c r="B395" s="438"/>
      <c r="C395" s="438"/>
      <c r="D395" s="438"/>
      <c r="E395" s="438"/>
      <c r="F395" s="438"/>
      <c r="G395" s="438"/>
    </row>
    <row r="396" spans="1:7" ht="12.75">
      <c r="A396" s="438"/>
      <c r="B396" s="438"/>
      <c r="C396" s="438"/>
      <c r="D396" s="438"/>
      <c r="E396" s="438"/>
      <c r="F396" s="438"/>
      <c r="G396" s="438"/>
    </row>
    <row r="397" spans="1:7" ht="12.75">
      <c r="A397" s="438"/>
      <c r="B397" s="438"/>
      <c r="C397" s="438"/>
      <c r="D397" s="438"/>
      <c r="E397" s="438"/>
      <c r="F397" s="438"/>
      <c r="G397" s="438"/>
    </row>
    <row r="398" spans="1:7" ht="12.75">
      <c r="A398" s="438"/>
      <c r="B398" s="438"/>
      <c r="C398" s="438"/>
      <c r="D398" s="438"/>
      <c r="E398" s="438"/>
      <c r="F398" s="438"/>
      <c r="G398" s="438"/>
    </row>
    <row r="399" spans="1:7" ht="12.75">
      <c r="A399" s="438"/>
      <c r="B399" s="438"/>
      <c r="C399" s="438"/>
      <c r="D399" s="438"/>
      <c r="E399" s="438"/>
      <c r="F399" s="438"/>
      <c r="G399" s="438"/>
    </row>
    <row r="400" spans="1:7" ht="12.75">
      <c r="A400" s="438"/>
      <c r="B400" s="438"/>
      <c r="C400" s="438"/>
      <c r="D400" s="438"/>
      <c r="E400" s="438"/>
      <c r="F400" s="438"/>
      <c r="G400" s="438"/>
    </row>
    <row r="401" spans="1:7" ht="12.75">
      <c r="A401" s="438"/>
      <c r="B401" s="438"/>
      <c r="C401" s="438"/>
      <c r="D401" s="438"/>
      <c r="E401" s="438"/>
      <c r="F401" s="438"/>
      <c r="G401" s="438"/>
    </row>
    <row r="402" spans="1:7" ht="12.75">
      <c r="A402" s="438"/>
      <c r="B402" s="438"/>
      <c r="C402" s="438"/>
      <c r="D402" s="438"/>
      <c r="E402" s="438"/>
      <c r="F402" s="438"/>
      <c r="G402" s="438"/>
    </row>
    <row r="403" spans="1:7" ht="12.75">
      <c r="A403" s="438"/>
      <c r="B403" s="438"/>
      <c r="C403" s="438"/>
      <c r="D403" s="438"/>
      <c r="E403" s="438"/>
      <c r="F403" s="438"/>
      <c r="G403" s="438"/>
    </row>
    <row r="404" spans="1:7" ht="12.75">
      <c r="A404" s="438"/>
      <c r="B404" s="438"/>
      <c r="C404" s="438"/>
      <c r="D404" s="438"/>
      <c r="E404" s="438"/>
      <c r="F404" s="438"/>
      <c r="G404" s="438"/>
    </row>
    <row r="405" spans="1:7" ht="12.75">
      <c r="A405" s="438"/>
      <c r="B405" s="438"/>
      <c r="C405" s="438"/>
      <c r="D405" s="438"/>
      <c r="E405" s="438"/>
      <c r="F405" s="438"/>
      <c r="G405" s="438"/>
    </row>
    <row r="406" spans="1:7" ht="12.75">
      <c r="A406" s="438"/>
      <c r="B406" s="438"/>
      <c r="C406" s="438"/>
      <c r="D406" s="438"/>
      <c r="E406" s="438"/>
      <c r="F406" s="438"/>
      <c r="G406" s="438"/>
    </row>
    <row r="407" spans="1:7" ht="12.75">
      <c r="A407" s="438"/>
      <c r="B407" s="438"/>
      <c r="C407" s="438"/>
      <c r="D407" s="438"/>
      <c r="E407" s="438"/>
      <c r="F407" s="438"/>
      <c r="G407" s="438"/>
    </row>
    <row r="408" spans="1:7" ht="12.75">
      <c r="A408" s="438"/>
      <c r="B408" s="438"/>
      <c r="C408" s="438"/>
      <c r="D408" s="438"/>
      <c r="E408" s="438"/>
      <c r="F408" s="438"/>
      <c r="G408" s="438"/>
    </row>
    <row r="409" spans="1:7" ht="12.75">
      <c r="A409" s="438"/>
      <c r="B409" s="438"/>
      <c r="C409" s="438"/>
      <c r="D409" s="438"/>
      <c r="E409" s="438"/>
      <c r="F409" s="438"/>
      <c r="G409" s="438"/>
    </row>
    <row r="410" spans="1:7" ht="12.75">
      <c r="A410" s="438"/>
      <c r="B410" s="438"/>
      <c r="C410" s="438"/>
      <c r="D410" s="438"/>
      <c r="E410" s="438"/>
      <c r="F410" s="438"/>
      <c r="G410" s="438"/>
    </row>
    <row r="411" spans="1:7" ht="12.75">
      <c r="A411" s="438"/>
      <c r="B411" s="438"/>
      <c r="C411" s="438"/>
      <c r="D411" s="438"/>
      <c r="E411" s="438"/>
      <c r="F411" s="438"/>
      <c r="G411" s="438"/>
    </row>
    <row r="412" spans="1:7" ht="12.75">
      <c r="A412" s="438"/>
      <c r="B412" s="438"/>
      <c r="C412" s="438"/>
      <c r="D412" s="438"/>
      <c r="E412" s="438"/>
      <c r="F412" s="438"/>
      <c r="G412" s="438"/>
    </row>
    <row r="413" spans="1:7" ht="12.75">
      <c r="A413" s="438"/>
      <c r="B413" s="438"/>
      <c r="C413" s="438"/>
      <c r="D413" s="438"/>
      <c r="E413" s="438"/>
      <c r="F413" s="438"/>
      <c r="G413" s="438"/>
    </row>
    <row r="414" spans="1:7" ht="12.75">
      <c r="A414" s="438"/>
      <c r="B414" s="438"/>
      <c r="C414" s="438"/>
      <c r="D414" s="438"/>
      <c r="E414" s="438"/>
      <c r="F414" s="438"/>
      <c r="G414" s="438"/>
    </row>
    <row r="415" spans="1:7" ht="12.75">
      <c r="A415" s="438"/>
      <c r="B415" s="438"/>
      <c r="C415" s="438"/>
      <c r="D415" s="438"/>
      <c r="E415" s="438"/>
      <c r="F415" s="438"/>
      <c r="G415" s="438"/>
    </row>
    <row r="416" spans="1:7" ht="12.75">
      <c r="A416" s="438"/>
      <c r="B416" s="438"/>
      <c r="C416" s="438"/>
      <c r="D416" s="438"/>
      <c r="E416" s="438"/>
      <c r="F416" s="438"/>
      <c r="G416" s="438"/>
    </row>
    <row r="417" spans="1:7" ht="12.75">
      <c r="A417" s="438"/>
      <c r="B417" s="438"/>
      <c r="C417" s="438"/>
      <c r="D417" s="438"/>
      <c r="E417" s="438"/>
      <c r="F417" s="438"/>
      <c r="G417" s="438"/>
    </row>
    <row r="418" spans="1:7" ht="12.75">
      <c r="A418" s="438"/>
      <c r="B418" s="438"/>
      <c r="C418" s="438"/>
      <c r="D418" s="438"/>
      <c r="E418" s="438"/>
      <c r="F418" s="438"/>
      <c r="G418" s="438"/>
    </row>
    <row r="419" spans="1:7" ht="12.75">
      <c r="A419" s="438"/>
      <c r="B419" s="438"/>
      <c r="C419" s="438"/>
      <c r="D419" s="438"/>
      <c r="E419" s="438"/>
      <c r="F419" s="438"/>
      <c r="G419" s="438"/>
    </row>
    <row r="420" spans="1:7" ht="12.75">
      <c r="A420" s="438"/>
      <c r="B420" s="438"/>
      <c r="C420" s="438"/>
      <c r="D420" s="438"/>
      <c r="E420" s="438"/>
      <c r="F420" s="438"/>
      <c r="G420" s="438"/>
    </row>
    <row r="421" spans="1:7" ht="12.75">
      <c r="A421" s="438"/>
      <c r="B421" s="438"/>
      <c r="C421" s="438"/>
      <c r="D421" s="438"/>
      <c r="E421" s="438"/>
      <c r="F421" s="438"/>
      <c r="G421" s="438"/>
    </row>
    <row r="422" spans="1:7" ht="12.75">
      <c r="A422" s="438"/>
      <c r="B422" s="438"/>
      <c r="C422" s="438"/>
      <c r="D422" s="438"/>
      <c r="E422" s="438"/>
      <c r="F422" s="438"/>
      <c r="G422" s="438"/>
    </row>
    <row r="423" spans="1:7" ht="12.75">
      <c r="A423" s="438"/>
      <c r="B423" s="438"/>
      <c r="C423" s="438"/>
      <c r="D423" s="438"/>
      <c r="E423" s="438"/>
      <c r="F423" s="438"/>
      <c r="G423" s="438"/>
    </row>
    <row r="424" spans="1:7" ht="12.75">
      <c r="A424" s="438"/>
      <c r="B424" s="438"/>
      <c r="C424" s="438"/>
      <c r="D424" s="438"/>
      <c r="E424" s="438"/>
      <c r="F424" s="438"/>
      <c r="G424" s="438"/>
    </row>
    <row r="425" spans="1:7" ht="12.75">
      <c r="A425" s="438"/>
      <c r="B425" s="438"/>
      <c r="C425" s="438"/>
      <c r="D425" s="438"/>
      <c r="E425" s="438"/>
      <c r="F425" s="438"/>
      <c r="G425" s="438"/>
    </row>
    <row r="426" spans="1:7" ht="12.75">
      <c r="A426" s="438"/>
      <c r="B426" s="438"/>
      <c r="C426" s="438"/>
      <c r="D426" s="438"/>
      <c r="E426" s="438"/>
      <c r="F426" s="438"/>
      <c r="G426" s="438"/>
    </row>
    <row r="427" spans="1:7" ht="12.75">
      <c r="A427" s="438"/>
      <c r="B427" s="438"/>
      <c r="C427" s="438"/>
      <c r="D427" s="438"/>
      <c r="E427" s="438"/>
      <c r="F427" s="438"/>
      <c r="G427" s="438"/>
    </row>
    <row r="428" spans="1:7" ht="12.75">
      <c r="A428" s="438"/>
      <c r="B428" s="438"/>
      <c r="C428" s="438"/>
      <c r="D428" s="438"/>
      <c r="E428" s="438"/>
      <c r="F428" s="438"/>
      <c r="G428" s="438"/>
    </row>
    <row r="429" spans="1:7" ht="12.75">
      <c r="A429" s="438"/>
      <c r="B429" s="438"/>
      <c r="C429" s="438"/>
      <c r="D429" s="438"/>
      <c r="E429" s="438"/>
      <c r="F429" s="438"/>
      <c r="G429" s="438"/>
    </row>
    <row r="430" spans="1:7" ht="12.75">
      <c r="A430" s="438"/>
      <c r="B430" s="438"/>
      <c r="C430" s="438"/>
      <c r="D430" s="438"/>
      <c r="E430" s="438"/>
      <c r="F430" s="438"/>
      <c r="G430" s="438"/>
    </row>
    <row r="431" spans="1:7" ht="12.75">
      <c r="A431" s="438"/>
      <c r="B431" s="438"/>
      <c r="C431" s="438"/>
      <c r="D431" s="438"/>
      <c r="E431" s="438"/>
      <c r="F431" s="438"/>
      <c r="G431" s="438"/>
    </row>
    <row r="432" spans="1:7" ht="12.75">
      <c r="A432" s="438"/>
      <c r="B432" s="438"/>
      <c r="C432" s="438"/>
      <c r="D432" s="438"/>
      <c r="E432" s="438"/>
      <c r="F432" s="438"/>
      <c r="G432" s="438"/>
    </row>
    <row r="433" spans="1:7" ht="12.75">
      <c r="A433" s="438"/>
      <c r="B433" s="438"/>
      <c r="C433" s="438"/>
      <c r="D433" s="438"/>
      <c r="E433" s="438"/>
      <c r="F433" s="438"/>
      <c r="G433" s="438"/>
    </row>
    <row r="434" spans="1:7" ht="12.75">
      <c r="A434" s="438"/>
      <c r="B434" s="438"/>
      <c r="C434" s="438"/>
      <c r="D434" s="438"/>
      <c r="E434" s="438"/>
      <c r="F434" s="438"/>
      <c r="G434" s="438"/>
    </row>
    <row r="435" spans="1:7" ht="12.75">
      <c r="A435" s="438"/>
      <c r="B435" s="438"/>
      <c r="C435" s="438"/>
      <c r="D435" s="438"/>
      <c r="E435" s="438"/>
      <c r="F435" s="438"/>
      <c r="G435" s="438"/>
    </row>
    <row r="436" spans="1:7" ht="12.75">
      <c r="A436" s="438"/>
      <c r="B436" s="438"/>
      <c r="C436" s="438"/>
      <c r="D436" s="438"/>
      <c r="E436" s="438"/>
      <c r="F436" s="438"/>
      <c r="G436" s="438"/>
    </row>
    <row r="437" spans="1:7" ht="12.75">
      <c r="A437" s="438"/>
      <c r="B437" s="438"/>
      <c r="C437" s="438"/>
      <c r="D437" s="438"/>
      <c r="E437" s="438"/>
      <c r="F437" s="438"/>
      <c r="G437" s="438"/>
    </row>
    <row r="438" spans="1:7" ht="12.75">
      <c r="A438" s="438"/>
      <c r="B438" s="438"/>
      <c r="C438" s="438"/>
      <c r="D438" s="438"/>
      <c r="E438" s="438"/>
      <c r="F438" s="438"/>
      <c r="G438" s="438"/>
    </row>
    <row r="439" spans="1:7" ht="12.75">
      <c r="A439" s="438"/>
      <c r="B439" s="438"/>
      <c r="C439" s="438"/>
      <c r="D439" s="438"/>
      <c r="E439" s="438"/>
      <c r="F439" s="438"/>
      <c r="G439" s="438"/>
    </row>
    <row r="440" spans="1:7" ht="12.75">
      <c r="A440" s="438"/>
      <c r="B440" s="438"/>
      <c r="C440" s="438"/>
      <c r="D440" s="438"/>
      <c r="E440" s="438"/>
      <c r="F440" s="438"/>
      <c r="G440" s="438"/>
    </row>
    <row r="441" spans="1:7" ht="12.75">
      <c r="A441" s="438"/>
      <c r="B441" s="438"/>
      <c r="C441" s="438"/>
      <c r="D441" s="438"/>
      <c r="E441" s="438"/>
      <c r="F441" s="438"/>
      <c r="G441" s="438"/>
    </row>
    <row r="442" spans="1:7" ht="12.75">
      <c r="A442" s="438"/>
      <c r="B442" s="438"/>
      <c r="C442" s="438"/>
      <c r="D442" s="438"/>
      <c r="E442" s="438"/>
      <c r="F442" s="438"/>
      <c r="G442" s="438"/>
    </row>
    <row r="443" spans="1:7" ht="12.75">
      <c r="A443" s="438"/>
      <c r="B443" s="438"/>
      <c r="C443" s="438"/>
      <c r="D443" s="438"/>
      <c r="E443" s="438"/>
      <c r="F443" s="438"/>
      <c r="G443" s="438"/>
    </row>
    <row r="444" spans="1:7" ht="12.75">
      <c r="A444" s="438"/>
      <c r="B444" s="438"/>
      <c r="C444" s="438"/>
      <c r="D444" s="438"/>
      <c r="E444" s="438"/>
      <c r="F444" s="438"/>
      <c r="G444" s="438"/>
    </row>
    <row r="445" spans="1:7" ht="12.75">
      <c r="A445" s="438"/>
      <c r="B445" s="438"/>
      <c r="C445" s="438"/>
      <c r="D445" s="438"/>
      <c r="E445" s="438"/>
      <c r="F445" s="438"/>
      <c r="G445" s="438"/>
    </row>
    <row r="446" spans="1:7" ht="12.75">
      <c r="A446" s="438"/>
      <c r="B446" s="438"/>
      <c r="C446" s="438"/>
      <c r="D446" s="438"/>
      <c r="E446" s="438"/>
      <c r="F446" s="438"/>
      <c r="G446" s="438"/>
    </row>
    <row r="447" spans="1:7" ht="12.75">
      <c r="A447" s="438"/>
      <c r="B447" s="438"/>
      <c r="C447" s="438"/>
      <c r="D447" s="438"/>
      <c r="E447" s="438"/>
      <c r="F447" s="438"/>
      <c r="G447" s="438"/>
    </row>
    <row r="448" spans="1:7" ht="12.75">
      <c r="A448" s="438"/>
      <c r="B448" s="438"/>
      <c r="C448" s="438"/>
      <c r="D448" s="438"/>
      <c r="E448" s="438"/>
      <c r="F448" s="438"/>
      <c r="G448" s="438"/>
    </row>
    <row r="449" spans="1:7" ht="12.75">
      <c r="A449" s="438"/>
      <c r="B449" s="438"/>
      <c r="C449" s="438"/>
      <c r="D449" s="438"/>
      <c r="E449" s="438"/>
      <c r="F449" s="438"/>
      <c r="G449" s="438"/>
    </row>
    <row r="450" spans="1:7" ht="12.75">
      <c r="A450" s="438"/>
      <c r="B450" s="438"/>
      <c r="C450" s="438"/>
      <c r="D450" s="438"/>
      <c r="E450" s="438"/>
      <c r="F450" s="438"/>
      <c r="G450" s="438"/>
    </row>
    <row r="451" spans="1:7" ht="12.75">
      <c r="A451" s="438"/>
      <c r="B451" s="438"/>
      <c r="C451" s="438"/>
      <c r="D451" s="438"/>
      <c r="E451" s="438"/>
      <c r="F451" s="438"/>
      <c r="G451" s="438"/>
    </row>
    <row r="452" spans="1:7" ht="12.75">
      <c r="A452" s="438"/>
      <c r="B452" s="438"/>
      <c r="C452" s="438"/>
      <c r="D452" s="438"/>
      <c r="E452" s="438"/>
      <c r="F452" s="438"/>
      <c r="G452" s="438"/>
    </row>
    <row r="453" spans="1:7" ht="12.75">
      <c r="A453" s="438"/>
      <c r="B453" s="438"/>
      <c r="C453" s="438"/>
      <c r="D453" s="438"/>
      <c r="E453" s="438"/>
      <c r="F453" s="438"/>
      <c r="G453" s="438"/>
    </row>
    <row r="454" spans="1:7" ht="12.75">
      <c r="A454" s="438"/>
      <c r="B454" s="438"/>
      <c r="C454" s="438"/>
      <c r="D454" s="438"/>
      <c r="E454" s="438"/>
      <c r="F454" s="438"/>
      <c r="G454" s="438"/>
    </row>
    <row r="455" spans="1:7" ht="12.75">
      <c r="A455" s="438"/>
      <c r="B455" s="438"/>
      <c r="C455" s="438"/>
      <c r="D455" s="438"/>
      <c r="E455" s="438"/>
      <c r="F455" s="438"/>
      <c r="G455" s="438"/>
    </row>
    <row r="456" spans="1:7" ht="12.75">
      <c r="A456" s="438"/>
      <c r="B456" s="438"/>
      <c r="C456" s="438"/>
      <c r="D456" s="438"/>
      <c r="E456" s="438"/>
      <c r="F456" s="438"/>
      <c r="G456" s="438"/>
    </row>
    <row r="457" spans="1:7" ht="12.75">
      <c r="A457" s="438"/>
      <c r="B457" s="438"/>
      <c r="C457" s="438"/>
      <c r="D457" s="438"/>
      <c r="E457" s="438"/>
      <c r="F457" s="438"/>
      <c r="G457" s="438"/>
    </row>
    <row r="458" spans="1:7" ht="12.75">
      <c r="A458" s="438"/>
      <c r="B458" s="438"/>
      <c r="C458" s="438"/>
      <c r="D458" s="438"/>
      <c r="E458" s="438"/>
      <c r="F458" s="438"/>
      <c r="G458" s="438"/>
    </row>
    <row r="459" spans="1:7" ht="12.75">
      <c r="A459" s="438"/>
      <c r="B459" s="438"/>
      <c r="C459" s="438"/>
      <c r="D459" s="438"/>
      <c r="E459" s="438"/>
      <c r="F459" s="438"/>
      <c r="G459" s="438"/>
    </row>
    <row r="460" spans="1:7" ht="12.75">
      <c r="A460" s="438"/>
      <c r="B460" s="438"/>
      <c r="C460" s="438"/>
      <c r="D460" s="438"/>
      <c r="E460" s="438"/>
      <c r="F460" s="438"/>
      <c r="G460" s="438"/>
    </row>
    <row r="461" spans="1:7" ht="12.75">
      <c r="A461" s="438"/>
      <c r="B461" s="438"/>
      <c r="C461" s="438"/>
      <c r="D461" s="438"/>
      <c r="E461" s="438"/>
      <c r="F461" s="438"/>
      <c r="G461" s="438"/>
    </row>
    <row r="462" spans="1:7" ht="12.75">
      <c r="A462" s="438"/>
      <c r="B462" s="438"/>
      <c r="C462" s="438"/>
      <c r="D462" s="438"/>
      <c r="E462" s="438"/>
      <c r="F462" s="438"/>
      <c r="G462" s="438"/>
    </row>
    <row r="463" spans="1:7" ht="12.75">
      <c r="A463" s="438"/>
      <c r="B463" s="438"/>
      <c r="C463" s="438"/>
      <c r="D463" s="438"/>
      <c r="E463" s="438"/>
      <c r="F463" s="438"/>
      <c r="G463" s="438"/>
    </row>
    <row r="464" spans="1:7" ht="12.75">
      <c r="A464" s="438"/>
      <c r="B464" s="438"/>
      <c r="C464" s="438"/>
      <c r="D464" s="438"/>
      <c r="E464" s="438"/>
      <c r="F464" s="438"/>
      <c r="G464" s="438"/>
    </row>
    <row r="465" spans="1:7" ht="12.75">
      <c r="A465" s="438"/>
      <c r="B465" s="438"/>
      <c r="C465" s="438"/>
      <c r="D465" s="438"/>
      <c r="E465" s="438"/>
      <c r="F465" s="438"/>
      <c r="G465" s="438"/>
    </row>
    <row r="466" spans="1:7" ht="12.75">
      <c r="A466" s="438"/>
      <c r="B466" s="438"/>
      <c r="C466" s="438"/>
      <c r="D466" s="438"/>
      <c r="E466" s="438"/>
      <c r="F466" s="438"/>
      <c r="G466" s="438"/>
    </row>
    <row r="467" spans="1:7" ht="12.75">
      <c r="A467" s="438"/>
      <c r="B467" s="438"/>
      <c r="C467" s="438"/>
      <c r="D467" s="438"/>
      <c r="E467" s="438"/>
      <c r="F467" s="438"/>
      <c r="G467" s="438"/>
    </row>
    <row r="468" spans="1:7" ht="12.75">
      <c r="A468" s="438"/>
      <c r="B468" s="438"/>
      <c r="C468" s="438"/>
      <c r="D468" s="438"/>
      <c r="E468" s="438"/>
      <c r="F468" s="438"/>
      <c r="G468" s="438"/>
    </row>
    <row r="469" spans="1:7" ht="12.75">
      <c r="A469" s="438"/>
      <c r="B469" s="438"/>
      <c r="C469" s="438"/>
      <c r="D469" s="438"/>
      <c r="E469" s="438"/>
      <c r="F469" s="438"/>
      <c r="G469" s="438"/>
    </row>
    <row r="470" spans="1:7" ht="12.75">
      <c r="A470" s="438"/>
      <c r="B470" s="438"/>
      <c r="C470" s="438"/>
      <c r="D470" s="438"/>
      <c r="E470" s="438"/>
      <c r="F470" s="438"/>
      <c r="G470" s="438"/>
    </row>
    <row r="471" spans="1:7" ht="12.75">
      <c r="A471" s="438"/>
      <c r="B471" s="438"/>
      <c r="C471" s="438"/>
      <c r="D471" s="438"/>
      <c r="E471" s="438"/>
      <c r="F471" s="438"/>
      <c r="G471" s="438"/>
    </row>
    <row r="472" spans="1:7" ht="12.75">
      <c r="A472" s="438"/>
      <c r="B472" s="438"/>
      <c r="C472" s="438"/>
      <c r="D472" s="438"/>
      <c r="E472" s="438"/>
      <c r="F472" s="438"/>
      <c r="G472" s="438"/>
    </row>
    <row r="473" spans="1:7" ht="12.75">
      <c r="A473" s="438"/>
      <c r="B473" s="438"/>
      <c r="C473" s="438"/>
      <c r="D473" s="438"/>
      <c r="E473" s="438"/>
      <c r="F473" s="438"/>
      <c r="G473" s="438"/>
    </row>
    <row r="474" spans="1:7" ht="12.75">
      <c r="A474" s="438"/>
      <c r="B474" s="438"/>
      <c r="C474" s="438"/>
      <c r="D474" s="438"/>
      <c r="E474" s="438"/>
      <c r="F474" s="438"/>
      <c r="G474" s="438"/>
    </row>
    <row r="475" spans="1:7" ht="12.75">
      <c r="A475" s="438"/>
      <c r="B475" s="438"/>
      <c r="C475" s="438"/>
      <c r="D475" s="438"/>
      <c r="E475" s="438"/>
      <c r="F475" s="438"/>
      <c r="G475" s="438"/>
    </row>
    <row r="476" spans="1:7" ht="12.75">
      <c r="A476" s="438"/>
      <c r="B476" s="438"/>
      <c r="C476" s="438"/>
      <c r="D476" s="438"/>
      <c r="E476" s="438"/>
      <c r="F476" s="438"/>
      <c r="G476" s="438"/>
    </row>
    <row r="477" spans="1:7" ht="12.75">
      <c r="A477" s="438"/>
      <c r="B477" s="438"/>
      <c r="C477" s="438"/>
      <c r="D477" s="438"/>
      <c r="E477" s="438"/>
      <c r="F477" s="438"/>
      <c r="G477" s="438"/>
    </row>
    <row r="478" spans="1:7" ht="12.75">
      <c r="A478" s="438"/>
      <c r="B478" s="438"/>
      <c r="C478" s="438"/>
      <c r="D478" s="438"/>
      <c r="E478" s="438"/>
      <c r="F478" s="438"/>
      <c r="G478" s="438"/>
    </row>
    <row r="479" spans="1:7" ht="12.75">
      <c r="A479" s="438"/>
      <c r="B479" s="438"/>
      <c r="C479" s="438"/>
      <c r="D479" s="438"/>
      <c r="E479" s="438"/>
      <c r="F479" s="438"/>
      <c r="G479" s="438"/>
    </row>
    <row r="480" spans="1:7" ht="12.75">
      <c r="A480" s="438"/>
      <c r="B480" s="438"/>
      <c r="C480" s="438"/>
      <c r="D480" s="438"/>
      <c r="E480" s="438"/>
      <c r="F480" s="438"/>
      <c r="G480" s="438"/>
    </row>
    <row r="481" spans="1:7" ht="12.75">
      <c r="A481" s="438"/>
      <c r="B481" s="438"/>
      <c r="C481" s="438"/>
      <c r="D481" s="438"/>
      <c r="E481" s="438"/>
      <c r="F481" s="438"/>
      <c r="G481" s="438"/>
    </row>
    <row r="482" spans="1:7" ht="12.75">
      <c r="A482" s="438"/>
      <c r="B482" s="438"/>
      <c r="C482" s="438"/>
      <c r="D482" s="438"/>
      <c r="E482" s="438"/>
      <c r="F482" s="438"/>
      <c r="G482" s="438"/>
    </row>
    <row r="483" spans="1:7" ht="12.75">
      <c r="A483" s="438"/>
      <c r="B483" s="438"/>
      <c r="C483" s="438"/>
      <c r="D483" s="438"/>
      <c r="E483" s="438"/>
      <c r="F483" s="438"/>
      <c r="G483" s="438"/>
    </row>
    <row r="484" spans="1:7" ht="12.75">
      <c r="A484" s="438"/>
      <c r="B484" s="438"/>
      <c r="C484" s="438"/>
      <c r="D484" s="438"/>
      <c r="E484" s="438"/>
      <c r="F484" s="438"/>
      <c r="G484" s="438"/>
    </row>
    <row r="485" spans="1:7" ht="12.75">
      <c r="A485" s="438"/>
      <c r="B485" s="438"/>
      <c r="C485" s="438"/>
      <c r="D485" s="438"/>
      <c r="E485" s="438"/>
      <c r="F485" s="438"/>
      <c r="G485" s="438"/>
    </row>
    <row r="486" spans="1:7" ht="12.75">
      <c r="A486" s="438"/>
      <c r="B486" s="438"/>
      <c r="C486" s="438"/>
      <c r="D486" s="438"/>
      <c r="E486" s="438"/>
      <c r="F486" s="438"/>
      <c r="G486" s="438"/>
    </row>
    <row r="487" spans="1:7" ht="12.75">
      <c r="A487" s="438"/>
      <c r="B487" s="438"/>
      <c r="C487" s="438"/>
      <c r="D487" s="438"/>
      <c r="E487" s="438"/>
      <c r="F487" s="438"/>
      <c r="G487" s="438"/>
    </row>
    <row r="488" spans="1:7" ht="12.75">
      <c r="A488" s="438"/>
      <c r="B488" s="438"/>
      <c r="C488" s="438"/>
      <c r="D488" s="438"/>
      <c r="E488" s="438"/>
      <c r="F488" s="438"/>
      <c r="G488" s="438"/>
    </row>
    <row r="489" spans="1:7" ht="12.75">
      <c r="A489" s="438"/>
      <c r="B489" s="438"/>
      <c r="C489" s="438"/>
      <c r="D489" s="438"/>
      <c r="E489" s="438"/>
      <c r="F489" s="438"/>
      <c r="G489" s="438"/>
    </row>
    <row r="490" spans="1:7" ht="12.75">
      <c r="A490" s="438"/>
      <c r="B490" s="438"/>
      <c r="C490" s="438"/>
      <c r="D490" s="438"/>
      <c r="E490" s="438"/>
      <c r="F490" s="438"/>
      <c r="G490" s="438"/>
    </row>
    <row r="491" spans="1:7" ht="12.75">
      <c r="A491" s="438"/>
      <c r="B491" s="438"/>
      <c r="C491" s="438"/>
      <c r="D491" s="438"/>
      <c r="E491" s="438"/>
      <c r="F491" s="438"/>
      <c r="G491" s="438"/>
    </row>
    <row r="492" spans="1:7" ht="12.75">
      <c r="A492" s="438"/>
      <c r="B492" s="438"/>
      <c r="C492" s="438"/>
      <c r="D492" s="438"/>
      <c r="E492" s="438"/>
      <c r="F492" s="438"/>
      <c r="G492" s="438"/>
    </row>
    <row r="493" spans="1:7" ht="12.75">
      <c r="A493" s="438"/>
      <c r="B493" s="438"/>
      <c r="C493" s="438"/>
      <c r="D493" s="438"/>
      <c r="E493" s="438"/>
      <c r="F493" s="438"/>
      <c r="G493" s="438"/>
    </row>
    <row r="494" spans="1:7" ht="12.75">
      <c r="A494" s="438"/>
      <c r="B494" s="438"/>
      <c r="C494" s="438"/>
      <c r="D494" s="438"/>
      <c r="E494" s="438"/>
      <c r="F494" s="438"/>
      <c r="G494" s="438"/>
    </row>
    <row r="495" spans="1:7" ht="12.75">
      <c r="A495" s="438"/>
      <c r="B495" s="438"/>
      <c r="C495" s="438"/>
      <c r="D495" s="438"/>
      <c r="E495" s="438"/>
      <c r="F495" s="438"/>
      <c r="G495" s="438"/>
    </row>
    <row r="496" spans="1:7" ht="12.75">
      <c r="A496" s="438"/>
      <c r="B496" s="438"/>
      <c r="C496" s="438"/>
      <c r="D496" s="438"/>
      <c r="E496" s="438"/>
      <c r="F496" s="438"/>
      <c r="G496" s="438"/>
    </row>
    <row r="497" spans="1:7" ht="12.75">
      <c r="A497" s="438"/>
      <c r="B497" s="438"/>
      <c r="C497" s="438"/>
      <c r="D497" s="438"/>
      <c r="E497" s="438"/>
      <c r="F497" s="438"/>
      <c r="G497" s="438"/>
    </row>
    <row r="498" spans="1:7" ht="12.75">
      <c r="A498" s="438"/>
      <c r="B498" s="438"/>
      <c r="C498" s="438"/>
      <c r="D498" s="438"/>
      <c r="E498" s="438"/>
      <c r="F498" s="438"/>
      <c r="G498" s="438"/>
    </row>
    <row r="499" spans="1:7" ht="12.75">
      <c r="A499" s="438"/>
      <c r="B499" s="438"/>
      <c r="C499" s="438"/>
      <c r="D499" s="438"/>
      <c r="E499" s="438"/>
      <c r="F499" s="438"/>
      <c r="G499" s="438"/>
    </row>
    <row r="500" spans="1:7" ht="12.75">
      <c r="A500" s="438"/>
      <c r="B500" s="438"/>
      <c r="C500" s="438"/>
      <c r="D500" s="438"/>
      <c r="E500" s="438"/>
      <c r="F500" s="438"/>
      <c r="G500" s="438"/>
    </row>
    <row r="501" spans="1:7" ht="12.75">
      <c r="A501" s="438"/>
      <c r="B501" s="438"/>
      <c r="C501" s="438"/>
      <c r="D501" s="438"/>
      <c r="E501" s="438"/>
      <c r="F501" s="438"/>
      <c r="G501" s="438"/>
    </row>
    <row r="502" spans="1:7" ht="12.75">
      <c r="A502" s="438"/>
      <c r="B502" s="438"/>
      <c r="C502" s="438"/>
      <c r="D502" s="438"/>
      <c r="E502" s="438"/>
      <c r="F502" s="438"/>
      <c r="G502" s="438"/>
    </row>
    <row r="503" spans="1:7" ht="12.75">
      <c r="A503" s="438"/>
      <c r="B503" s="438"/>
      <c r="C503" s="438"/>
      <c r="D503" s="438"/>
      <c r="E503" s="438"/>
      <c r="F503" s="438"/>
      <c r="G503" s="438"/>
    </row>
    <row r="504" spans="1:7" ht="12.75">
      <c r="A504" s="438"/>
      <c r="B504" s="438"/>
      <c r="C504" s="438"/>
      <c r="D504" s="438"/>
      <c r="E504" s="438"/>
      <c r="F504" s="438"/>
      <c r="G504" s="438"/>
    </row>
    <row r="505" spans="1:7" ht="12.75">
      <c r="A505" s="438"/>
      <c r="B505" s="438"/>
      <c r="C505" s="438"/>
      <c r="D505" s="438"/>
      <c r="E505" s="438"/>
      <c r="F505" s="438"/>
      <c r="G505" s="438"/>
    </row>
    <row r="506" spans="1:7" ht="12.75">
      <c r="A506" s="438"/>
      <c r="B506" s="438"/>
      <c r="C506" s="438"/>
      <c r="D506" s="438"/>
      <c r="E506" s="438"/>
      <c r="F506" s="438"/>
      <c r="G506" s="438"/>
    </row>
    <row r="507" spans="1:7" ht="12.75">
      <c r="A507" s="438"/>
      <c r="B507" s="438"/>
      <c r="C507" s="438"/>
      <c r="D507" s="438"/>
      <c r="E507" s="438"/>
      <c r="F507" s="438"/>
      <c r="G507" s="438"/>
    </row>
    <row r="508" spans="1:7" ht="12.75">
      <c r="A508" s="438"/>
      <c r="B508" s="438"/>
      <c r="C508" s="438"/>
      <c r="D508" s="438"/>
      <c r="E508" s="438"/>
      <c r="F508" s="438"/>
      <c r="G508" s="438"/>
    </row>
    <row r="509" spans="1:7" ht="12.75">
      <c r="A509" s="438"/>
      <c r="B509" s="438"/>
      <c r="C509" s="438"/>
      <c r="D509" s="438"/>
      <c r="E509" s="438"/>
      <c r="F509" s="438"/>
      <c r="G509" s="438"/>
    </row>
    <row r="510" spans="1:7" ht="12.75">
      <c r="A510" s="438"/>
      <c r="B510" s="438"/>
      <c r="C510" s="438"/>
      <c r="D510" s="438"/>
      <c r="E510" s="438"/>
      <c r="F510" s="438"/>
      <c r="G510" s="438"/>
    </row>
    <row r="511" spans="1:7" ht="12.75">
      <c r="A511" s="438"/>
      <c r="B511" s="438"/>
      <c r="C511" s="438"/>
      <c r="D511" s="438"/>
      <c r="E511" s="438"/>
      <c r="F511" s="438"/>
      <c r="G511" s="438"/>
    </row>
    <row r="512" spans="1:7" ht="12.75">
      <c r="A512" s="438"/>
      <c r="B512" s="438"/>
      <c r="C512" s="438"/>
      <c r="D512" s="438"/>
      <c r="E512" s="438"/>
      <c r="F512" s="438"/>
      <c r="G512" s="438"/>
    </row>
    <row r="513" spans="1:7" ht="12.75">
      <c r="A513" s="438"/>
      <c r="B513" s="438"/>
      <c r="C513" s="438"/>
      <c r="D513" s="438"/>
      <c r="E513" s="438"/>
      <c r="F513" s="438"/>
      <c r="G513" s="438"/>
    </row>
    <row r="514" spans="1:7" ht="12.75">
      <c r="A514" s="438"/>
      <c r="B514" s="438"/>
      <c r="C514" s="438"/>
      <c r="D514" s="438"/>
      <c r="E514" s="438"/>
      <c r="F514" s="438"/>
      <c r="G514" s="438"/>
    </row>
    <row r="515" spans="1:7" ht="12.75">
      <c r="A515" s="438"/>
      <c r="B515" s="438"/>
      <c r="C515" s="438"/>
      <c r="D515" s="438"/>
      <c r="E515" s="438"/>
      <c r="F515" s="438"/>
      <c r="G515" s="438"/>
    </row>
    <row r="516" spans="1:7" ht="12.75">
      <c r="A516" s="438"/>
      <c r="B516" s="438"/>
      <c r="C516" s="438"/>
      <c r="D516" s="438"/>
      <c r="E516" s="438"/>
      <c r="F516" s="438"/>
      <c r="G516" s="438"/>
    </row>
    <row r="517" spans="1:7" ht="12.75">
      <c r="A517" s="438"/>
      <c r="B517" s="438"/>
      <c r="C517" s="438"/>
      <c r="D517" s="438"/>
      <c r="E517" s="438"/>
      <c r="F517" s="438"/>
      <c r="G517" s="438"/>
    </row>
    <row r="518" spans="1:7" ht="12.75">
      <c r="A518" s="438"/>
      <c r="B518" s="438"/>
      <c r="C518" s="438"/>
      <c r="D518" s="438"/>
      <c r="E518" s="438"/>
      <c r="F518" s="438"/>
      <c r="G518" s="438"/>
    </row>
    <row r="519" spans="1:7" ht="12.75">
      <c r="A519" s="438"/>
      <c r="B519" s="438"/>
      <c r="C519" s="438"/>
      <c r="D519" s="438"/>
      <c r="E519" s="438"/>
      <c r="F519" s="438"/>
      <c r="G519" s="438"/>
    </row>
    <row r="520" spans="1:7" ht="12.75">
      <c r="A520" s="438"/>
      <c r="B520" s="438"/>
      <c r="C520" s="438"/>
      <c r="D520" s="438"/>
      <c r="E520" s="438"/>
      <c r="F520" s="438"/>
      <c r="G520" s="438"/>
    </row>
    <row r="521" spans="1:7" ht="12.75">
      <c r="A521" s="438"/>
      <c r="B521" s="438"/>
      <c r="C521" s="438"/>
      <c r="D521" s="438"/>
      <c r="E521" s="438"/>
      <c r="F521" s="438"/>
      <c r="G521" s="438"/>
    </row>
    <row r="522" spans="1:7" ht="12.75">
      <c r="A522" s="438"/>
      <c r="B522" s="438"/>
      <c r="C522" s="438"/>
      <c r="D522" s="438"/>
      <c r="E522" s="438"/>
      <c r="F522" s="438"/>
      <c r="G522" s="438"/>
    </row>
    <row r="523" spans="1:7" ht="12.75">
      <c r="A523" s="438"/>
      <c r="B523" s="438"/>
      <c r="C523" s="438"/>
      <c r="D523" s="438"/>
      <c r="E523" s="438"/>
      <c r="F523" s="438"/>
      <c r="G523" s="438"/>
    </row>
    <row r="524" spans="1:7" ht="12.75">
      <c r="A524" s="438"/>
      <c r="B524" s="438"/>
      <c r="C524" s="438"/>
      <c r="D524" s="438"/>
      <c r="E524" s="438"/>
      <c r="F524" s="438"/>
      <c r="G524" s="438"/>
    </row>
    <row r="525" spans="1:7" ht="12.75">
      <c r="A525" s="438"/>
      <c r="B525" s="438"/>
      <c r="C525" s="438"/>
      <c r="D525" s="438"/>
      <c r="E525" s="438"/>
      <c r="F525" s="438"/>
      <c r="G525" s="438"/>
    </row>
    <row r="526" spans="1:7" ht="12.75">
      <c r="A526" s="438"/>
      <c r="B526" s="438"/>
      <c r="C526" s="438"/>
      <c r="D526" s="438"/>
      <c r="E526" s="438"/>
      <c r="F526" s="438"/>
      <c r="G526" s="438"/>
    </row>
    <row r="527" spans="1:7" ht="12.75">
      <c r="A527" s="438"/>
      <c r="B527" s="438"/>
      <c r="C527" s="438"/>
      <c r="D527" s="438"/>
      <c r="E527" s="438"/>
      <c r="F527" s="438"/>
      <c r="G527" s="438"/>
    </row>
    <row r="528" spans="1:7" ht="12.75">
      <c r="A528" s="438"/>
      <c r="B528" s="438"/>
      <c r="C528" s="438"/>
      <c r="D528" s="438"/>
      <c r="E528" s="438"/>
      <c r="F528" s="438"/>
      <c r="G528" s="438"/>
    </row>
    <row r="529" spans="1:7" ht="12.75">
      <c r="A529" s="438"/>
      <c r="B529" s="438"/>
      <c r="C529" s="438"/>
      <c r="D529" s="438"/>
      <c r="E529" s="438"/>
      <c r="F529" s="438"/>
      <c r="G529" s="438"/>
    </row>
    <row r="530" spans="1:7" ht="12.75">
      <c r="A530" s="438"/>
      <c r="B530" s="438"/>
      <c r="C530" s="438"/>
      <c r="D530" s="438"/>
      <c r="E530" s="438"/>
      <c r="F530" s="438"/>
      <c r="G530" s="438"/>
    </row>
    <row r="531" spans="1:7" ht="12.75">
      <c r="A531" s="438"/>
      <c r="B531" s="438"/>
      <c r="C531" s="438"/>
      <c r="D531" s="438"/>
      <c r="E531" s="438"/>
      <c r="F531" s="438"/>
      <c r="G531" s="438"/>
    </row>
    <row r="532" spans="1:7" ht="12.75">
      <c r="A532" s="438"/>
      <c r="B532" s="438"/>
      <c r="C532" s="438"/>
      <c r="D532" s="438"/>
      <c r="E532" s="438"/>
      <c r="F532" s="438"/>
      <c r="G532" s="438"/>
    </row>
    <row r="533" spans="1:7" ht="12.75">
      <c r="A533" s="438"/>
      <c r="B533" s="438"/>
      <c r="C533" s="438"/>
      <c r="D533" s="438"/>
      <c r="E533" s="438"/>
      <c r="F533" s="438"/>
      <c r="G533" s="438"/>
    </row>
    <row r="534" spans="1:7" ht="12.75">
      <c r="A534" s="438"/>
      <c r="B534" s="438"/>
      <c r="C534" s="438"/>
      <c r="D534" s="438"/>
      <c r="E534" s="438"/>
      <c r="F534" s="438"/>
      <c r="G534" s="438"/>
    </row>
    <row r="535" spans="1:7" ht="12.75">
      <c r="A535" s="438"/>
      <c r="B535" s="438"/>
      <c r="C535" s="438"/>
      <c r="D535" s="438"/>
      <c r="E535" s="438"/>
      <c r="F535" s="438"/>
      <c r="G535" s="438"/>
    </row>
    <row r="536" spans="1:7" ht="12.75">
      <c r="A536" s="438"/>
      <c r="B536" s="438"/>
      <c r="C536" s="438"/>
      <c r="D536" s="438"/>
      <c r="E536" s="438"/>
      <c r="F536" s="438"/>
      <c r="G536" s="438"/>
    </row>
    <row r="537" spans="1:7" ht="12.75">
      <c r="A537" s="438"/>
      <c r="B537" s="438"/>
      <c r="C537" s="438"/>
      <c r="D537" s="438"/>
      <c r="E537" s="438"/>
      <c r="F537" s="438"/>
      <c r="G537" s="438"/>
    </row>
    <row r="538" spans="1:7" ht="12.75">
      <c r="A538" s="438"/>
      <c r="B538" s="438"/>
      <c r="C538" s="438"/>
      <c r="D538" s="438"/>
      <c r="E538" s="438"/>
      <c r="F538" s="438"/>
      <c r="G538" s="438"/>
    </row>
    <row r="539" spans="1:7" ht="12.75">
      <c r="A539" s="438"/>
      <c r="B539" s="438"/>
      <c r="C539" s="438"/>
      <c r="D539" s="438"/>
      <c r="E539" s="438"/>
      <c r="F539" s="438"/>
      <c r="G539" s="438"/>
    </row>
    <row r="540" spans="1:7" ht="12.75">
      <c r="A540" s="438"/>
      <c r="B540" s="438"/>
      <c r="C540" s="438"/>
      <c r="D540" s="438"/>
      <c r="E540" s="438"/>
      <c r="F540" s="438"/>
      <c r="G540" s="438"/>
    </row>
    <row r="541" spans="1:7" ht="12.75">
      <c r="A541" s="438"/>
      <c r="B541" s="438"/>
      <c r="C541" s="438"/>
      <c r="D541" s="438"/>
      <c r="E541" s="438"/>
      <c r="F541" s="438"/>
      <c r="G541" s="438"/>
    </row>
    <row r="542" spans="1:7" ht="12.75">
      <c r="A542" s="438"/>
      <c r="B542" s="438"/>
      <c r="C542" s="438"/>
      <c r="D542" s="438"/>
      <c r="E542" s="438"/>
      <c r="F542" s="438"/>
      <c r="G542" s="438"/>
    </row>
    <row r="543" spans="1:7" ht="12.75">
      <c r="A543" s="438"/>
      <c r="B543" s="438"/>
      <c r="C543" s="438"/>
      <c r="D543" s="438"/>
      <c r="E543" s="438"/>
      <c r="F543" s="438"/>
      <c r="G543" s="438"/>
    </row>
    <row r="544" spans="1:7" ht="12.75">
      <c r="A544" s="438"/>
      <c r="B544" s="438"/>
      <c r="C544" s="438"/>
      <c r="D544" s="438"/>
      <c r="E544" s="438"/>
      <c r="F544" s="438"/>
      <c r="G544" s="438"/>
    </row>
    <row r="545" spans="1:7" ht="12.75">
      <c r="A545" s="438"/>
      <c r="B545" s="438"/>
      <c r="C545" s="438"/>
      <c r="D545" s="438"/>
      <c r="E545" s="438"/>
      <c r="F545" s="438"/>
      <c r="G545" s="438"/>
    </row>
    <row r="546" spans="1:7" ht="12.75">
      <c r="A546" s="438"/>
      <c r="B546" s="438"/>
      <c r="C546" s="438"/>
      <c r="D546" s="438"/>
      <c r="E546" s="438"/>
      <c r="F546" s="438"/>
      <c r="G546" s="438"/>
    </row>
    <row r="547" spans="1:7" ht="12.75">
      <c r="A547" s="438"/>
      <c r="B547" s="438"/>
      <c r="C547" s="438"/>
      <c r="D547" s="438"/>
      <c r="E547" s="438"/>
      <c r="F547" s="438"/>
      <c r="G547" s="438"/>
    </row>
    <row r="548" spans="1:7" ht="12.75">
      <c r="A548" s="438"/>
      <c r="B548" s="438"/>
      <c r="C548" s="438"/>
      <c r="D548" s="438"/>
      <c r="E548" s="438"/>
      <c r="F548" s="438"/>
      <c r="G548" s="438"/>
    </row>
    <row r="549" spans="1:7" ht="12.75">
      <c r="A549" s="438"/>
      <c r="B549" s="438"/>
      <c r="C549" s="438"/>
      <c r="D549" s="438"/>
      <c r="E549" s="438"/>
      <c r="F549" s="438"/>
      <c r="G549" s="438"/>
    </row>
    <row r="550" spans="1:7" ht="12.75">
      <c r="A550" s="438"/>
      <c r="B550" s="438"/>
      <c r="C550" s="438"/>
      <c r="D550" s="438"/>
      <c r="E550" s="438"/>
      <c r="F550" s="438"/>
      <c r="G550" s="438"/>
    </row>
    <row r="551" spans="1:7" ht="12.75">
      <c r="A551" s="438"/>
      <c r="B551" s="438"/>
      <c r="C551" s="438"/>
      <c r="D551" s="438"/>
      <c r="E551" s="438"/>
      <c r="F551" s="438"/>
      <c r="G551" s="438"/>
    </row>
    <row r="552" spans="1:7" ht="12.75">
      <c r="A552" s="438"/>
      <c r="B552" s="438"/>
      <c r="C552" s="438"/>
      <c r="D552" s="438"/>
      <c r="E552" s="438"/>
      <c r="F552" s="438"/>
      <c r="G552" s="438"/>
    </row>
    <row r="553" spans="1:7" ht="12.75">
      <c r="A553" s="438"/>
      <c r="B553" s="438"/>
      <c r="C553" s="438"/>
      <c r="D553" s="438"/>
      <c r="E553" s="438"/>
      <c r="F553" s="438"/>
      <c r="G553" s="438"/>
    </row>
    <row r="554" spans="1:7" ht="12.75">
      <c r="A554" s="438"/>
      <c r="B554" s="438"/>
      <c r="C554" s="438"/>
      <c r="D554" s="438"/>
      <c r="E554" s="438"/>
      <c r="F554" s="438"/>
      <c r="G554" s="438"/>
    </row>
    <row r="555" spans="1:7" ht="12.75">
      <c r="A555" s="438"/>
      <c r="B555" s="438"/>
      <c r="C555" s="438"/>
      <c r="D555" s="438"/>
      <c r="E555" s="438"/>
      <c r="F555" s="438"/>
      <c r="G555" s="438"/>
    </row>
    <row r="556" spans="1:7" ht="12.75">
      <c r="A556" s="438"/>
      <c r="B556" s="438"/>
      <c r="C556" s="438"/>
      <c r="D556" s="438"/>
      <c r="E556" s="438"/>
      <c r="F556" s="438"/>
      <c r="G556" s="438"/>
    </row>
    <row r="557" spans="1:7" ht="12.75">
      <c r="A557" s="438"/>
      <c r="B557" s="438"/>
      <c r="C557" s="438"/>
      <c r="D557" s="438"/>
      <c r="E557" s="438"/>
      <c r="F557" s="438"/>
      <c r="G557" s="438"/>
    </row>
    <row r="558" spans="1:7" ht="12.75">
      <c r="A558" s="438"/>
      <c r="B558" s="438"/>
      <c r="C558" s="438"/>
      <c r="D558" s="438"/>
      <c r="E558" s="438"/>
      <c r="F558" s="438"/>
      <c r="G558" s="438"/>
    </row>
    <row r="559" spans="1:7" ht="12.75">
      <c r="A559" s="438"/>
      <c r="B559" s="438"/>
      <c r="C559" s="438"/>
      <c r="D559" s="438"/>
      <c r="E559" s="438"/>
      <c r="F559" s="438"/>
      <c r="G559" s="438"/>
    </row>
    <row r="560" spans="1:7" ht="12.75">
      <c r="A560" s="438"/>
      <c r="B560" s="438"/>
      <c r="C560" s="438"/>
      <c r="D560" s="438"/>
      <c r="E560" s="438"/>
      <c r="F560" s="438"/>
      <c r="G560" s="438"/>
    </row>
    <row r="561" spans="1:7" ht="12.75">
      <c r="A561" s="438"/>
      <c r="B561" s="438"/>
      <c r="C561" s="438"/>
      <c r="D561" s="438"/>
      <c r="E561" s="438"/>
      <c r="F561" s="438"/>
      <c r="G561" s="438"/>
    </row>
    <row r="562" spans="1:7" ht="12.75">
      <c r="A562" s="438"/>
      <c r="B562" s="438"/>
      <c r="C562" s="438"/>
      <c r="D562" s="438"/>
      <c r="E562" s="438"/>
      <c r="F562" s="438"/>
      <c r="G562" s="438"/>
    </row>
    <row r="563" spans="1:7" ht="12.75">
      <c r="A563" s="438"/>
      <c r="B563" s="438"/>
      <c r="C563" s="438"/>
      <c r="D563" s="438"/>
      <c r="E563" s="438"/>
      <c r="F563" s="438"/>
      <c r="G563" s="438"/>
    </row>
    <row r="564" spans="1:7" ht="12.75">
      <c r="A564" s="438"/>
      <c r="B564" s="438"/>
      <c r="C564" s="438"/>
      <c r="D564" s="438"/>
      <c r="E564" s="438"/>
      <c r="F564" s="438"/>
      <c r="G564" s="438"/>
    </row>
    <row r="565" spans="1:7" ht="12.75">
      <c r="A565" s="438"/>
      <c r="B565" s="438"/>
      <c r="C565" s="438"/>
      <c r="D565" s="438"/>
      <c r="E565" s="438"/>
      <c r="F565" s="438"/>
      <c r="G565" s="438"/>
    </row>
    <row r="566" spans="1:7" ht="12.75">
      <c r="A566" s="438"/>
      <c r="B566" s="438"/>
      <c r="C566" s="438"/>
      <c r="D566" s="438"/>
      <c r="E566" s="438"/>
      <c r="F566" s="438"/>
      <c r="G566" s="438"/>
    </row>
    <row r="567" spans="1:7" ht="12.75">
      <c r="A567" s="438"/>
      <c r="B567" s="438"/>
      <c r="C567" s="438"/>
      <c r="D567" s="438"/>
      <c r="E567" s="438"/>
      <c r="F567" s="438"/>
      <c r="G567" s="438"/>
    </row>
    <row r="568" spans="1:7" ht="12.75">
      <c r="A568" s="438"/>
      <c r="B568" s="438"/>
      <c r="C568" s="438"/>
      <c r="D568" s="438"/>
      <c r="E568" s="438"/>
      <c r="F568" s="438"/>
      <c r="G568" s="438"/>
    </row>
    <row r="569" spans="1:7" ht="12.75">
      <c r="A569" s="438"/>
      <c r="B569" s="438"/>
      <c r="C569" s="438"/>
      <c r="D569" s="438"/>
      <c r="E569" s="438"/>
      <c r="F569" s="438"/>
      <c r="G569" s="438"/>
    </row>
    <row r="570" spans="1:7" ht="12.75">
      <c r="A570" s="438"/>
      <c r="B570" s="438"/>
      <c r="C570" s="438"/>
      <c r="D570" s="438"/>
      <c r="E570" s="438"/>
      <c r="F570" s="438"/>
      <c r="G570" s="438"/>
    </row>
    <row r="571" spans="1:7" ht="12.75">
      <c r="A571" s="438"/>
      <c r="B571" s="438"/>
      <c r="C571" s="438"/>
      <c r="D571" s="438"/>
      <c r="E571" s="438"/>
      <c r="F571" s="438"/>
      <c r="G571" s="438"/>
    </row>
    <row r="572" spans="1:7" ht="12.75">
      <c r="A572" s="438"/>
      <c r="B572" s="438"/>
      <c r="C572" s="438"/>
      <c r="D572" s="438"/>
      <c r="E572" s="438"/>
      <c r="F572" s="438"/>
      <c r="G572" s="438"/>
    </row>
    <row r="573" spans="1:7" ht="12.75">
      <c r="A573" s="438"/>
      <c r="B573" s="438"/>
      <c r="C573" s="438"/>
      <c r="D573" s="438"/>
      <c r="E573" s="438"/>
      <c r="F573" s="438"/>
      <c r="G573" s="438"/>
    </row>
    <row r="574" spans="1:7" ht="12.75">
      <c r="A574" s="438"/>
      <c r="B574" s="438"/>
      <c r="C574" s="438"/>
      <c r="D574" s="438"/>
      <c r="E574" s="438"/>
      <c r="F574" s="438"/>
      <c r="G574" s="438"/>
    </row>
    <row r="575" spans="1:7" ht="12.75">
      <c r="A575" s="438"/>
      <c r="B575" s="438"/>
      <c r="C575" s="438"/>
      <c r="D575" s="438"/>
      <c r="E575" s="438"/>
      <c r="F575" s="438"/>
      <c r="G575" s="438"/>
    </row>
    <row r="576" spans="1:7" ht="12.75">
      <c r="A576" s="438"/>
      <c r="B576" s="438"/>
      <c r="C576" s="438"/>
      <c r="D576" s="438"/>
      <c r="E576" s="438"/>
      <c r="F576" s="438"/>
      <c r="G576" s="438"/>
    </row>
    <row r="577" spans="1:7" ht="12.75">
      <c r="A577" s="438"/>
      <c r="B577" s="438"/>
      <c r="C577" s="438"/>
      <c r="D577" s="438"/>
      <c r="E577" s="438"/>
      <c r="F577" s="438"/>
      <c r="G577" s="438"/>
    </row>
    <row r="578" spans="1:7" ht="12.75">
      <c r="A578" s="438"/>
      <c r="B578" s="438"/>
      <c r="C578" s="438"/>
      <c r="D578" s="438"/>
      <c r="E578" s="438"/>
      <c r="F578" s="438"/>
      <c r="G578" s="438"/>
    </row>
    <row r="579" spans="1:7" ht="12.75">
      <c r="A579" s="438"/>
      <c r="B579" s="438"/>
      <c r="C579" s="438"/>
      <c r="D579" s="438"/>
      <c r="E579" s="438"/>
      <c r="F579" s="438"/>
      <c r="G579" s="438"/>
    </row>
    <row r="580" spans="1:7" ht="12.75">
      <c r="A580" s="438"/>
      <c r="B580" s="438"/>
      <c r="C580" s="438"/>
      <c r="D580" s="438"/>
      <c r="E580" s="438"/>
      <c r="F580" s="438"/>
      <c r="G580" s="438"/>
    </row>
    <row r="581" spans="1:7" ht="12.75">
      <c r="A581" s="438"/>
      <c r="B581" s="438"/>
      <c r="C581" s="438"/>
      <c r="D581" s="438"/>
      <c r="E581" s="438"/>
      <c r="F581" s="438"/>
      <c r="G581" s="438"/>
    </row>
    <row r="582" spans="1:7" ht="12.75">
      <c r="A582" s="438"/>
      <c r="B582" s="438"/>
      <c r="C582" s="438"/>
      <c r="D582" s="438"/>
      <c r="E582" s="438"/>
      <c r="F582" s="438"/>
      <c r="G582" s="438"/>
    </row>
    <row r="583" spans="1:7" ht="12.75">
      <c r="A583" s="438"/>
      <c r="B583" s="438"/>
      <c r="C583" s="438"/>
      <c r="D583" s="438"/>
      <c r="E583" s="438"/>
      <c r="F583" s="438"/>
      <c r="G583" s="438"/>
    </row>
    <row r="584" spans="1:7" ht="12.75">
      <c r="A584" s="438"/>
      <c r="B584" s="438"/>
      <c r="C584" s="438"/>
      <c r="D584" s="438"/>
      <c r="E584" s="438"/>
      <c r="F584" s="438"/>
      <c r="G584" s="438"/>
    </row>
    <row r="585" spans="1:7" ht="12.75">
      <c r="A585" s="438"/>
      <c r="B585" s="438"/>
      <c r="C585" s="438"/>
      <c r="D585" s="438"/>
      <c r="E585" s="438"/>
      <c r="F585" s="438"/>
      <c r="G585" s="438"/>
    </row>
    <row r="586" spans="1:7" ht="12.75">
      <c r="A586" s="438"/>
      <c r="B586" s="438"/>
      <c r="C586" s="438"/>
      <c r="D586" s="438"/>
      <c r="E586" s="438"/>
      <c r="F586" s="438"/>
      <c r="G586" s="438"/>
    </row>
    <row r="587" spans="1:7" ht="12.75">
      <c r="A587" s="438"/>
      <c r="B587" s="438"/>
      <c r="C587" s="438"/>
      <c r="D587" s="438"/>
      <c r="E587" s="438"/>
      <c r="F587" s="438"/>
      <c r="G587" s="438"/>
    </row>
    <row r="588" spans="1:7" ht="12.75">
      <c r="A588" s="438"/>
      <c r="B588" s="438"/>
      <c r="C588" s="438"/>
      <c r="D588" s="438"/>
      <c r="E588" s="438"/>
      <c r="F588" s="438"/>
      <c r="G588" s="438"/>
    </row>
    <row r="589" spans="1:7" ht="12.75">
      <c r="A589" s="438"/>
      <c r="B589" s="438"/>
      <c r="C589" s="438"/>
      <c r="D589" s="438"/>
      <c r="E589" s="438"/>
      <c r="F589" s="438"/>
      <c r="G589" s="438"/>
    </row>
    <row r="590" spans="1:7" ht="12.75">
      <c r="A590" s="438"/>
      <c r="B590" s="438"/>
      <c r="C590" s="438"/>
      <c r="D590" s="438"/>
      <c r="E590" s="438"/>
      <c r="F590" s="438"/>
      <c r="G590" s="438"/>
    </row>
    <row r="591" spans="1:7" ht="12.75">
      <c r="A591" s="438"/>
      <c r="B591" s="438"/>
      <c r="C591" s="438"/>
      <c r="D591" s="438"/>
      <c r="E591" s="438"/>
      <c r="F591" s="438"/>
      <c r="G591" s="438"/>
    </row>
    <row r="592" spans="1:7" ht="12.75">
      <c r="A592" s="438"/>
      <c r="B592" s="438"/>
      <c r="C592" s="438"/>
      <c r="D592" s="438"/>
      <c r="E592" s="438"/>
      <c r="F592" s="438"/>
      <c r="G592" s="438"/>
    </row>
    <row r="593" spans="1:7" ht="12.75">
      <c r="A593" s="438"/>
      <c r="B593" s="438"/>
      <c r="C593" s="438"/>
      <c r="D593" s="438"/>
      <c r="E593" s="438"/>
      <c r="F593" s="438"/>
      <c r="G593" s="438"/>
    </row>
    <row r="594" spans="1:7" ht="12.75">
      <c r="A594" s="438"/>
      <c r="B594" s="438"/>
      <c r="C594" s="438"/>
      <c r="D594" s="438"/>
      <c r="E594" s="438"/>
      <c r="F594" s="438"/>
      <c r="G594" s="438"/>
    </row>
    <row r="595" spans="1:7" ht="12.75">
      <c r="A595" s="438"/>
      <c r="B595" s="438"/>
      <c r="C595" s="438"/>
      <c r="D595" s="438"/>
      <c r="E595" s="438"/>
      <c r="F595" s="438"/>
      <c r="G595" s="438"/>
    </row>
    <row r="596" spans="1:7" ht="12.75">
      <c r="A596" s="438"/>
      <c r="B596" s="438"/>
      <c r="C596" s="438"/>
      <c r="D596" s="438"/>
      <c r="E596" s="438"/>
      <c r="F596" s="438"/>
      <c r="G596" s="438"/>
    </row>
    <row r="597" spans="1:7" ht="12.75">
      <c r="A597" s="438"/>
      <c r="B597" s="438"/>
      <c r="C597" s="438"/>
      <c r="D597" s="438"/>
      <c r="E597" s="438"/>
      <c r="F597" s="438"/>
      <c r="G597" s="438"/>
    </row>
    <row r="598" spans="1:7" ht="12.75">
      <c r="A598" s="438"/>
      <c r="B598" s="438"/>
      <c r="C598" s="438"/>
      <c r="D598" s="438"/>
      <c r="E598" s="438"/>
      <c r="F598" s="438"/>
      <c r="G598" s="438"/>
    </row>
    <row r="599" spans="1:7" ht="12.75">
      <c r="A599" s="438"/>
      <c r="B599" s="438"/>
      <c r="C599" s="438"/>
      <c r="D599" s="438"/>
      <c r="E599" s="438"/>
      <c r="F599" s="438"/>
      <c r="G599" s="438"/>
    </row>
    <row r="600" spans="1:7" ht="12.75">
      <c r="A600" s="438"/>
      <c r="B600" s="438"/>
      <c r="C600" s="438"/>
      <c r="D600" s="438"/>
      <c r="E600" s="438"/>
      <c r="F600" s="438"/>
      <c r="G600" s="438"/>
    </row>
    <row r="601" spans="1:7" ht="12.75">
      <c r="A601" s="438"/>
      <c r="B601" s="438"/>
      <c r="C601" s="438"/>
      <c r="D601" s="438"/>
      <c r="E601" s="438"/>
      <c r="F601" s="438"/>
      <c r="G601" s="438"/>
    </row>
    <row r="602" spans="1:7" ht="12.75">
      <c r="A602" s="438"/>
      <c r="B602" s="438"/>
      <c r="C602" s="438"/>
      <c r="D602" s="438"/>
      <c r="E602" s="438"/>
      <c r="F602" s="438"/>
      <c r="G602" s="438"/>
    </row>
    <row r="603" spans="1:7" ht="12.75">
      <c r="A603" s="438"/>
      <c r="B603" s="438"/>
      <c r="C603" s="438"/>
      <c r="D603" s="438"/>
      <c r="E603" s="438"/>
      <c r="F603" s="438"/>
      <c r="G603" s="438"/>
    </row>
    <row r="604" spans="1:7" ht="12.75">
      <c r="A604" s="438"/>
      <c r="B604" s="438"/>
      <c r="C604" s="438"/>
      <c r="D604" s="438"/>
      <c r="E604" s="438"/>
      <c r="F604" s="438"/>
      <c r="G604" s="438"/>
    </row>
    <row r="605" spans="1:7" ht="12.75">
      <c r="A605" s="438"/>
      <c r="B605" s="438"/>
      <c r="C605" s="438"/>
      <c r="D605" s="438"/>
      <c r="E605" s="438"/>
      <c r="F605" s="438"/>
      <c r="G605" s="438"/>
    </row>
    <row r="606" spans="1:7" ht="12.75">
      <c r="A606" s="438"/>
      <c r="B606" s="438"/>
      <c r="C606" s="438"/>
      <c r="D606" s="438"/>
      <c r="E606" s="438"/>
      <c r="F606" s="438"/>
      <c r="G606" s="438"/>
    </row>
    <row r="607" spans="1:7" ht="12.75">
      <c r="A607" s="438"/>
      <c r="B607" s="438"/>
      <c r="C607" s="438"/>
      <c r="D607" s="438"/>
      <c r="E607" s="438"/>
      <c r="F607" s="438"/>
      <c r="G607" s="438"/>
    </row>
    <row r="608" spans="1:7" ht="12.75">
      <c r="A608" s="438"/>
      <c r="B608" s="438"/>
      <c r="C608" s="438"/>
      <c r="D608" s="438"/>
      <c r="E608" s="438"/>
      <c r="F608" s="438"/>
      <c r="G608" s="438"/>
    </row>
    <row r="609" spans="1:7" ht="12.75">
      <c r="A609" s="438"/>
      <c r="B609" s="438"/>
      <c r="C609" s="438"/>
      <c r="D609" s="438"/>
      <c r="E609" s="438"/>
      <c r="F609" s="438"/>
      <c r="G609" s="438"/>
    </row>
    <row r="610" spans="1:7" ht="12.75">
      <c r="A610" s="438"/>
      <c r="B610" s="438"/>
      <c r="C610" s="438"/>
      <c r="D610" s="438"/>
      <c r="E610" s="438"/>
      <c r="F610" s="438"/>
      <c r="G610" s="438"/>
    </row>
    <row r="611" spans="1:7" ht="12.75">
      <c r="A611" s="438"/>
      <c r="B611" s="438"/>
      <c r="C611" s="438"/>
      <c r="D611" s="438"/>
      <c r="E611" s="438"/>
      <c r="F611" s="438"/>
      <c r="G611" s="438"/>
    </row>
    <row r="612" spans="1:7" ht="12.75">
      <c r="A612" s="438"/>
      <c r="B612" s="438"/>
      <c r="C612" s="438"/>
      <c r="D612" s="438"/>
      <c r="E612" s="438"/>
      <c r="F612" s="438"/>
      <c r="G612" s="438"/>
    </row>
    <row r="613" spans="1:7" ht="12.75">
      <c r="A613" s="438"/>
      <c r="B613" s="438"/>
      <c r="C613" s="438"/>
      <c r="D613" s="438"/>
      <c r="E613" s="438"/>
      <c r="F613" s="438"/>
      <c r="G613" s="438"/>
    </row>
    <row r="614" spans="1:7" ht="12.75">
      <c r="A614" s="438"/>
      <c r="B614" s="438"/>
      <c r="C614" s="438"/>
      <c r="D614" s="438"/>
      <c r="E614" s="438"/>
      <c r="F614" s="438"/>
      <c r="G614" s="438"/>
    </row>
    <row r="615" spans="1:7" ht="12.75">
      <c r="A615" s="438"/>
      <c r="B615" s="438"/>
      <c r="C615" s="438"/>
      <c r="D615" s="438"/>
      <c r="E615" s="438"/>
      <c r="F615" s="438"/>
      <c r="G615" s="438"/>
    </row>
    <row r="616" spans="1:7" ht="12.75">
      <c r="A616" s="438"/>
      <c r="B616" s="438"/>
      <c r="C616" s="438"/>
      <c r="D616" s="438"/>
      <c r="E616" s="438"/>
      <c r="F616" s="438"/>
      <c r="G616" s="438"/>
    </row>
    <row r="617" spans="1:7" ht="12.75">
      <c r="A617" s="438"/>
      <c r="B617" s="438"/>
      <c r="C617" s="438"/>
      <c r="D617" s="438"/>
      <c r="E617" s="438"/>
      <c r="F617" s="438"/>
      <c r="G617" s="438"/>
    </row>
    <row r="618" spans="1:7" ht="12.75">
      <c r="A618" s="438"/>
      <c r="B618" s="438"/>
      <c r="C618" s="438"/>
      <c r="D618" s="438"/>
      <c r="E618" s="438"/>
      <c r="F618" s="438"/>
      <c r="G618" s="438"/>
    </row>
    <row r="619" spans="1:7" ht="12.75">
      <c r="A619" s="438"/>
      <c r="B619" s="438"/>
      <c r="C619" s="438"/>
      <c r="D619" s="438"/>
      <c r="E619" s="438"/>
      <c r="F619" s="438"/>
      <c r="G619" s="438"/>
    </row>
    <row r="620" spans="1:7" ht="12.75">
      <c r="A620" s="438"/>
      <c r="B620" s="438"/>
      <c r="C620" s="438"/>
      <c r="D620" s="438"/>
      <c r="E620" s="438"/>
      <c r="F620" s="438"/>
      <c r="G620" s="438"/>
    </row>
    <row r="621" spans="1:7" ht="12.75">
      <c r="A621" s="438"/>
      <c r="B621" s="438"/>
      <c r="C621" s="438"/>
      <c r="D621" s="438"/>
      <c r="E621" s="438"/>
      <c r="F621" s="438"/>
      <c r="G621" s="438"/>
    </row>
    <row r="622" spans="1:7" ht="12.75">
      <c r="A622" s="438"/>
      <c r="B622" s="438"/>
      <c r="C622" s="438"/>
      <c r="D622" s="438"/>
      <c r="E622" s="438"/>
      <c r="F622" s="438"/>
      <c r="G622" s="438"/>
    </row>
    <row r="623" spans="1:7" ht="12.75">
      <c r="A623" s="438"/>
      <c r="B623" s="438"/>
      <c r="C623" s="438"/>
      <c r="D623" s="438"/>
      <c r="E623" s="438"/>
      <c r="F623" s="438"/>
      <c r="G623" s="438"/>
    </row>
    <row r="624" spans="1:7" ht="12.75">
      <c r="A624" s="438"/>
      <c r="B624" s="438"/>
      <c r="C624" s="438"/>
      <c r="D624" s="438"/>
      <c r="E624" s="438"/>
      <c r="F624" s="438"/>
      <c r="G624" s="438"/>
    </row>
    <row r="625" spans="1:7" ht="12.75">
      <c r="A625" s="438"/>
      <c r="B625" s="438"/>
      <c r="C625" s="438"/>
      <c r="D625" s="438"/>
      <c r="E625" s="438"/>
      <c r="F625" s="438"/>
      <c r="G625" s="438"/>
    </row>
    <row r="626" spans="1:7" ht="12.75">
      <c r="A626" s="438"/>
      <c r="B626" s="438"/>
      <c r="C626" s="438"/>
      <c r="D626" s="438"/>
      <c r="E626" s="438"/>
      <c r="F626" s="438"/>
      <c r="G626" s="438"/>
    </row>
    <row r="627" spans="1:7" ht="12.75">
      <c r="A627" s="438"/>
      <c r="B627" s="438"/>
      <c r="C627" s="438"/>
      <c r="D627" s="438"/>
      <c r="E627" s="438"/>
      <c r="F627" s="438"/>
      <c r="G627" s="438"/>
    </row>
    <row r="628" spans="1:7" ht="12.75">
      <c r="A628" s="438"/>
      <c r="B628" s="438"/>
      <c r="C628" s="438"/>
      <c r="D628" s="438"/>
      <c r="E628" s="438"/>
      <c r="F628" s="438"/>
      <c r="G628" s="438"/>
    </row>
    <row r="629" spans="1:7" ht="12.75">
      <c r="A629" s="438"/>
      <c r="B629" s="438"/>
      <c r="C629" s="438"/>
      <c r="D629" s="438"/>
      <c r="E629" s="438"/>
      <c r="F629" s="438"/>
      <c r="G629" s="438"/>
    </row>
    <row r="630" spans="1:7" ht="12.75">
      <c r="A630" s="438"/>
      <c r="B630" s="438"/>
      <c r="C630" s="438"/>
      <c r="D630" s="438"/>
      <c r="E630" s="438"/>
      <c r="F630" s="438"/>
      <c r="G630" s="438"/>
    </row>
    <row r="631" spans="1:7" ht="12.75">
      <c r="A631" s="438"/>
      <c r="B631" s="438"/>
      <c r="C631" s="438"/>
      <c r="D631" s="438"/>
      <c r="E631" s="438"/>
      <c r="F631" s="438"/>
      <c r="G631" s="438"/>
    </row>
    <row r="632" spans="1:7" ht="12.75">
      <c r="A632" s="438"/>
      <c r="B632" s="438"/>
      <c r="C632" s="438"/>
      <c r="D632" s="438"/>
      <c r="E632" s="438"/>
      <c r="F632" s="438"/>
      <c r="G632" s="438"/>
    </row>
    <row r="633" spans="1:7" ht="12.75">
      <c r="A633" s="438"/>
      <c r="B633" s="438"/>
      <c r="C633" s="438"/>
      <c r="D633" s="438"/>
      <c r="E633" s="438"/>
      <c r="F633" s="438"/>
      <c r="G633" s="438"/>
    </row>
    <row r="634" spans="1:7" ht="12.75">
      <c r="A634" s="438"/>
      <c r="B634" s="438"/>
      <c r="C634" s="438"/>
      <c r="D634" s="438"/>
      <c r="E634" s="438"/>
      <c r="F634" s="438"/>
      <c r="G634" s="438"/>
    </row>
    <row r="635" spans="1:7" ht="12.75">
      <c r="A635" s="438"/>
      <c r="B635" s="438"/>
      <c r="C635" s="438"/>
      <c r="D635" s="438"/>
      <c r="E635" s="438"/>
      <c r="F635" s="438"/>
      <c r="G635" s="438"/>
    </row>
    <row r="636" spans="1:7" ht="12.75">
      <c r="A636" s="438"/>
      <c r="B636" s="438"/>
      <c r="C636" s="438"/>
      <c r="D636" s="438"/>
      <c r="E636" s="438"/>
      <c r="F636" s="438"/>
      <c r="G636" s="438"/>
    </row>
    <row r="637" spans="1:7" ht="12.75">
      <c r="A637" s="438"/>
      <c r="B637" s="438"/>
      <c r="C637" s="438"/>
      <c r="D637" s="438"/>
      <c r="E637" s="438"/>
      <c r="F637" s="438"/>
      <c r="G637" s="438"/>
    </row>
    <row r="638" spans="1:7" ht="12.75">
      <c r="A638" s="438"/>
      <c r="B638" s="438"/>
      <c r="C638" s="438"/>
      <c r="D638" s="438"/>
      <c r="E638" s="438"/>
      <c r="F638" s="438"/>
      <c r="G638" s="438"/>
    </row>
    <row r="639" spans="1:7" ht="12.75">
      <c r="A639" s="438"/>
      <c r="B639" s="438"/>
      <c r="C639" s="438"/>
      <c r="D639" s="438"/>
      <c r="E639" s="438"/>
      <c r="F639" s="438"/>
      <c r="G639" s="438"/>
    </row>
    <row r="640" spans="1:7" ht="12.75">
      <c r="A640" s="438"/>
      <c r="B640" s="438"/>
      <c r="C640" s="438"/>
      <c r="D640" s="438"/>
      <c r="E640" s="438"/>
      <c r="F640" s="438"/>
      <c r="G640" s="438"/>
    </row>
    <row r="641" spans="1:7" ht="12.75">
      <c r="A641" s="438"/>
      <c r="B641" s="438"/>
      <c r="C641" s="438"/>
      <c r="D641" s="438"/>
      <c r="E641" s="438"/>
      <c r="F641" s="438"/>
      <c r="G641" s="438"/>
    </row>
    <row r="642" spans="1:7" ht="12.75">
      <c r="A642" s="438"/>
      <c r="B642" s="438"/>
      <c r="C642" s="438"/>
      <c r="D642" s="438"/>
      <c r="E642" s="438"/>
      <c r="F642" s="438"/>
      <c r="G642" s="438"/>
    </row>
    <row r="643" spans="1:7" ht="12.75">
      <c r="A643" s="438"/>
      <c r="B643" s="438"/>
      <c r="C643" s="438"/>
      <c r="D643" s="438"/>
      <c r="E643" s="438"/>
      <c r="F643" s="438"/>
      <c r="G643" s="438"/>
    </row>
    <row r="644" spans="1:7" ht="12.75">
      <c r="A644" s="438"/>
      <c r="B644" s="438"/>
      <c r="C644" s="438"/>
      <c r="D644" s="438"/>
      <c r="E644" s="438"/>
      <c r="F644" s="438"/>
      <c r="G644" s="438"/>
    </row>
    <row r="645" spans="1:7" ht="12.75">
      <c r="A645" s="438"/>
      <c r="B645" s="438"/>
      <c r="C645" s="438"/>
      <c r="D645" s="438"/>
      <c r="E645" s="438"/>
      <c r="F645" s="438"/>
      <c r="G645" s="438"/>
    </row>
    <row r="646" spans="1:7" ht="12.75">
      <c r="A646" s="438"/>
      <c r="B646" s="438"/>
      <c r="C646" s="438"/>
      <c r="D646" s="438"/>
      <c r="E646" s="438"/>
      <c r="F646" s="438"/>
      <c r="G646" s="438"/>
    </row>
    <row r="647" spans="1:7" ht="12.75">
      <c r="A647" s="438"/>
      <c r="B647" s="438"/>
      <c r="C647" s="438"/>
      <c r="D647" s="438"/>
      <c r="E647" s="438"/>
      <c r="F647" s="438"/>
      <c r="G647" s="438"/>
    </row>
    <row r="648" spans="1:7" ht="12.75">
      <c r="A648" s="438"/>
      <c r="B648" s="438"/>
      <c r="C648" s="438"/>
      <c r="D648" s="438"/>
      <c r="E648" s="438"/>
      <c r="F648" s="438"/>
      <c r="G648" s="438"/>
    </row>
    <row r="649" spans="1:7" ht="12.75">
      <c r="A649" s="438"/>
      <c r="B649" s="438"/>
      <c r="C649" s="438"/>
      <c r="D649" s="438"/>
      <c r="E649" s="438"/>
      <c r="F649" s="438"/>
      <c r="G649" s="438"/>
    </row>
    <row r="650" spans="1:7" ht="12.75">
      <c r="A650" s="438"/>
      <c r="B650" s="438"/>
      <c r="C650" s="438"/>
      <c r="D650" s="438"/>
      <c r="E650" s="438"/>
      <c r="F650" s="438"/>
      <c r="G650" s="438"/>
    </row>
    <row r="651" spans="1:7" ht="12.75">
      <c r="A651" s="438"/>
      <c r="B651" s="438"/>
      <c r="C651" s="438"/>
      <c r="D651" s="438"/>
      <c r="E651" s="438"/>
      <c r="F651" s="438"/>
      <c r="G651" s="438"/>
    </row>
    <row r="652" spans="1:7" ht="12.75">
      <c r="A652" s="438"/>
      <c r="B652" s="438"/>
      <c r="C652" s="438"/>
      <c r="D652" s="438"/>
      <c r="E652" s="438"/>
      <c r="F652" s="438"/>
      <c r="G652" s="438"/>
    </row>
    <row r="653" spans="1:7" ht="12.75">
      <c r="A653" s="438"/>
      <c r="B653" s="438"/>
      <c r="C653" s="438"/>
      <c r="D653" s="438"/>
      <c r="E653" s="438"/>
      <c r="F653" s="438"/>
      <c r="G653" s="438"/>
    </row>
    <row r="654" spans="1:7" ht="12.75">
      <c r="A654" s="438"/>
      <c r="B654" s="438"/>
      <c r="C654" s="438"/>
      <c r="D654" s="438"/>
      <c r="E654" s="438"/>
      <c r="F654" s="438"/>
      <c r="G654" s="438"/>
    </row>
    <row r="655" spans="1:7" ht="12.75">
      <c r="A655" s="438"/>
      <c r="B655" s="438"/>
      <c r="C655" s="438"/>
      <c r="D655" s="438"/>
      <c r="E655" s="438"/>
      <c r="F655" s="438"/>
      <c r="G655" s="438"/>
    </row>
    <row r="656" spans="1:7" ht="12.75">
      <c r="A656" s="438"/>
      <c r="B656" s="438"/>
      <c r="C656" s="438"/>
      <c r="D656" s="438"/>
      <c r="E656" s="438"/>
      <c r="F656" s="438"/>
      <c r="G656" s="438"/>
    </row>
    <row r="657" spans="1:7" ht="12.75">
      <c r="A657" s="438"/>
      <c r="B657" s="438"/>
      <c r="C657" s="438"/>
      <c r="D657" s="438"/>
      <c r="E657" s="438"/>
      <c r="F657" s="438"/>
      <c r="G657" s="438"/>
    </row>
    <row r="658" spans="1:7" ht="12.75">
      <c r="A658" s="438"/>
      <c r="B658" s="438"/>
      <c r="C658" s="438"/>
      <c r="D658" s="438"/>
      <c r="E658" s="438"/>
      <c r="F658" s="438"/>
      <c r="G658" s="438"/>
    </row>
    <row r="659" spans="1:7" ht="12.75">
      <c r="A659" s="438"/>
      <c r="B659" s="438"/>
      <c r="C659" s="438"/>
      <c r="D659" s="438"/>
      <c r="E659" s="438"/>
      <c r="F659" s="438"/>
      <c r="G659" s="438"/>
    </row>
    <row r="660" spans="1:7" ht="12.75">
      <c r="A660" s="438"/>
      <c r="B660" s="438"/>
      <c r="C660" s="438"/>
      <c r="D660" s="438"/>
      <c r="E660" s="438"/>
      <c r="F660" s="438"/>
      <c r="G660" s="438"/>
    </row>
    <row r="661" spans="1:7" ht="12.75">
      <c r="A661" s="438"/>
      <c r="B661" s="438"/>
      <c r="C661" s="438"/>
      <c r="D661" s="438"/>
      <c r="E661" s="438"/>
      <c r="F661" s="438"/>
      <c r="G661" s="438"/>
    </row>
    <row r="662" spans="1:7" ht="12.75">
      <c r="A662" s="438"/>
      <c r="B662" s="438"/>
      <c r="C662" s="438"/>
      <c r="D662" s="438"/>
      <c r="E662" s="438"/>
      <c r="F662" s="438"/>
      <c r="G662" s="438"/>
    </row>
    <row r="663" spans="1:7" ht="12.75">
      <c r="A663" s="438"/>
      <c r="B663" s="438"/>
      <c r="C663" s="438"/>
      <c r="D663" s="438"/>
      <c r="E663" s="438"/>
      <c r="F663" s="438"/>
      <c r="G663" s="438"/>
    </row>
    <row r="664" spans="1:7" ht="12.75">
      <c r="A664" s="438"/>
      <c r="B664" s="438"/>
      <c r="C664" s="438"/>
      <c r="D664" s="438"/>
      <c r="E664" s="438"/>
      <c r="F664" s="438"/>
      <c r="G664" s="438"/>
    </row>
    <row r="665" spans="1:7" ht="12.75">
      <c r="A665" s="438"/>
      <c r="B665" s="438"/>
      <c r="C665" s="438"/>
      <c r="D665" s="438"/>
      <c r="E665" s="438"/>
      <c r="F665" s="438"/>
      <c r="G665" s="438"/>
    </row>
    <row r="666" spans="1:7" ht="12.75">
      <c r="A666" s="438"/>
      <c r="B666" s="438"/>
      <c r="C666" s="438"/>
      <c r="D666" s="438"/>
      <c r="E666" s="438"/>
      <c r="F666" s="438"/>
      <c r="G666" s="438"/>
    </row>
    <row r="667" spans="1:7" ht="12.75">
      <c r="A667" s="438"/>
      <c r="B667" s="438"/>
      <c r="C667" s="438"/>
      <c r="D667" s="438"/>
      <c r="E667" s="438"/>
      <c r="F667" s="438"/>
      <c r="G667" s="438"/>
    </row>
    <row r="668" spans="1:7" ht="12.75">
      <c r="A668" s="438"/>
      <c r="B668" s="438"/>
      <c r="C668" s="438"/>
      <c r="D668" s="438"/>
      <c r="E668" s="438"/>
      <c r="F668" s="438"/>
      <c r="G668" s="438"/>
    </row>
    <row r="669" spans="1:7" ht="12.75">
      <c r="A669" s="438"/>
      <c r="B669" s="438"/>
      <c r="C669" s="438"/>
      <c r="D669" s="438"/>
      <c r="E669" s="438"/>
      <c r="F669" s="438"/>
      <c r="G669" s="438"/>
    </row>
    <row r="670" spans="1:7" ht="12.75">
      <c r="A670" s="438"/>
      <c r="B670" s="438"/>
      <c r="C670" s="438"/>
      <c r="D670" s="438"/>
      <c r="E670" s="438"/>
      <c r="F670" s="438"/>
      <c r="G670" s="438"/>
    </row>
    <row r="671" spans="1:7" ht="12.75">
      <c r="A671" s="438"/>
      <c r="B671" s="438"/>
      <c r="C671" s="438"/>
      <c r="D671" s="438"/>
      <c r="E671" s="438"/>
      <c r="F671" s="438"/>
      <c r="G671" s="438"/>
    </row>
    <row r="672" spans="1:7" ht="12.75">
      <c r="A672" s="438"/>
      <c r="B672" s="438"/>
      <c r="C672" s="438"/>
      <c r="D672" s="438"/>
      <c r="E672" s="438"/>
      <c r="F672" s="438"/>
      <c r="G672" s="438"/>
    </row>
    <row r="673" spans="1:7" ht="12.75">
      <c r="A673" s="438"/>
      <c r="B673" s="438"/>
      <c r="C673" s="438"/>
      <c r="D673" s="438"/>
      <c r="E673" s="438"/>
      <c r="F673" s="438"/>
      <c r="G673" s="438"/>
    </row>
    <row r="674" spans="1:7" ht="12.75">
      <c r="A674" s="438"/>
      <c r="B674" s="438"/>
      <c r="C674" s="438"/>
      <c r="D674" s="438"/>
      <c r="E674" s="438"/>
      <c r="F674" s="438"/>
      <c r="G674" s="438"/>
    </row>
    <row r="675" spans="1:7" ht="12.75">
      <c r="A675" s="438"/>
      <c r="B675" s="438"/>
      <c r="C675" s="438"/>
      <c r="D675" s="438"/>
      <c r="E675" s="438"/>
      <c r="F675" s="438"/>
      <c r="G675" s="438"/>
    </row>
    <row r="676" spans="1:7" ht="12.75">
      <c r="A676" s="438"/>
      <c r="B676" s="438"/>
      <c r="C676" s="438"/>
      <c r="D676" s="438"/>
      <c r="E676" s="438"/>
      <c r="F676" s="438"/>
      <c r="G676" s="438"/>
    </row>
    <row r="677" spans="1:7" ht="12.75">
      <c r="A677" s="438"/>
      <c r="B677" s="438"/>
      <c r="C677" s="438"/>
      <c r="D677" s="438"/>
      <c r="E677" s="438"/>
      <c r="F677" s="438"/>
      <c r="G677" s="438"/>
    </row>
    <row r="678" spans="1:7" ht="12.75">
      <c r="A678" s="438"/>
      <c r="B678" s="438"/>
      <c r="C678" s="438"/>
      <c r="D678" s="438"/>
      <c r="E678" s="438"/>
      <c r="F678" s="438"/>
      <c r="G678" s="438"/>
    </row>
    <row r="679" spans="1:7" ht="12.75">
      <c r="A679" s="438"/>
      <c r="B679" s="438"/>
      <c r="C679" s="438"/>
      <c r="D679" s="438"/>
      <c r="E679" s="438"/>
      <c r="F679" s="438"/>
      <c r="G679" s="438"/>
    </row>
    <row r="680" spans="1:7" ht="12.75">
      <c r="A680" s="438"/>
      <c r="B680" s="438"/>
      <c r="C680" s="438"/>
      <c r="D680" s="438"/>
      <c r="E680" s="438"/>
      <c r="F680" s="438"/>
      <c r="G680" s="438"/>
    </row>
    <row r="681" spans="1:7" ht="12.75">
      <c r="A681" s="438"/>
      <c r="B681" s="438"/>
      <c r="C681" s="438"/>
      <c r="D681" s="438"/>
      <c r="E681" s="438"/>
      <c r="F681" s="438"/>
      <c r="G681" s="438"/>
    </row>
    <row r="682" spans="1:7" ht="12.75">
      <c r="A682" s="438"/>
      <c r="B682" s="438"/>
      <c r="C682" s="438"/>
      <c r="D682" s="438"/>
      <c r="E682" s="438"/>
      <c r="F682" s="438"/>
      <c r="G682" s="438"/>
    </row>
    <row r="683" spans="1:7" ht="12.75">
      <c r="A683" s="438"/>
      <c r="B683" s="438"/>
      <c r="C683" s="438"/>
      <c r="D683" s="438"/>
      <c r="E683" s="438"/>
      <c r="F683" s="438"/>
      <c r="G683" s="438"/>
    </row>
    <row r="684" spans="1:7" ht="12.75">
      <c r="A684" s="438"/>
      <c r="B684" s="438"/>
      <c r="C684" s="438"/>
      <c r="D684" s="438"/>
      <c r="E684" s="438"/>
      <c r="F684" s="438"/>
      <c r="G684" s="438"/>
    </row>
    <row r="685" spans="1:7" ht="12.75">
      <c r="A685" s="438"/>
      <c r="B685" s="438"/>
      <c r="C685" s="438"/>
      <c r="D685" s="438"/>
      <c r="E685" s="438"/>
      <c r="F685" s="438"/>
      <c r="G685" s="438"/>
    </row>
    <row r="686" spans="1:7" ht="12.75">
      <c r="A686" s="438"/>
      <c r="B686" s="438"/>
      <c r="C686" s="438"/>
      <c r="D686" s="438"/>
      <c r="E686" s="438"/>
      <c r="F686" s="438"/>
      <c r="G686" s="438"/>
    </row>
    <row r="687" spans="1:7" ht="12.75">
      <c r="A687" s="438"/>
      <c r="B687" s="438"/>
      <c r="C687" s="438"/>
      <c r="D687" s="438"/>
      <c r="E687" s="438"/>
      <c r="F687" s="438"/>
      <c r="G687" s="438"/>
    </row>
    <row r="688" spans="1:7" ht="12.75">
      <c r="A688" s="438"/>
      <c r="B688" s="438"/>
      <c r="C688" s="438"/>
      <c r="D688" s="438"/>
      <c r="E688" s="438"/>
      <c r="F688" s="438"/>
      <c r="G688" s="438"/>
    </row>
    <row r="689" spans="1:7" ht="12.75">
      <c r="A689" s="438"/>
      <c r="B689" s="438"/>
      <c r="C689" s="438"/>
      <c r="D689" s="438"/>
      <c r="E689" s="438"/>
      <c r="F689" s="438"/>
      <c r="G689" s="438"/>
    </row>
    <row r="690" spans="1:7" ht="12.75">
      <c r="A690" s="438"/>
      <c r="B690" s="438"/>
      <c r="C690" s="438"/>
      <c r="D690" s="438"/>
      <c r="E690" s="438"/>
      <c r="F690" s="438"/>
      <c r="G690" s="438"/>
    </row>
    <row r="691" spans="1:7" ht="12.75">
      <c r="A691" s="438"/>
      <c r="B691" s="438"/>
      <c r="C691" s="438"/>
      <c r="D691" s="438"/>
      <c r="E691" s="438"/>
      <c r="F691" s="438"/>
      <c r="G691" s="438"/>
    </row>
    <row r="692" spans="1:7" ht="12.75">
      <c r="A692" s="438"/>
      <c r="B692" s="438"/>
      <c r="C692" s="438"/>
      <c r="D692" s="438"/>
      <c r="E692" s="438"/>
      <c r="F692" s="438"/>
      <c r="G692" s="438"/>
    </row>
    <row r="693" spans="1:7" ht="12.75">
      <c r="A693" s="438"/>
      <c r="B693" s="438"/>
      <c r="C693" s="438"/>
      <c r="D693" s="438"/>
      <c r="E693" s="438"/>
      <c r="F693" s="438"/>
      <c r="G693" s="438"/>
    </row>
    <row r="694" spans="1:7" ht="12.75">
      <c r="A694" s="438"/>
      <c r="B694" s="438"/>
      <c r="C694" s="438"/>
      <c r="D694" s="438"/>
      <c r="E694" s="438"/>
      <c r="F694" s="438"/>
      <c r="G694" s="438"/>
    </row>
    <row r="695" spans="1:7" ht="12.75">
      <c r="A695" s="438"/>
      <c r="B695" s="438"/>
      <c r="C695" s="438"/>
      <c r="D695" s="438"/>
      <c r="E695" s="438"/>
      <c r="F695" s="438"/>
      <c r="G695" s="438"/>
    </row>
    <row r="696" spans="1:7" ht="12.75">
      <c r="A696" s="438"/>
      <c r="B696" s="438"/>
      <c r="C696" s="438"/>
      <c r="D696" s="438"/>
      <c r="E696" s="438"/>
      <c r="F696" s="438"/>
      <c r="G696" s="438"/>
    </row>
    <row r="697" spans="1:7" ht="12.75">
      <c r="A697" s="438"/>
      <c r="B697" s="438"/>
      <c r="C697" s="438"/>
      <c r="D697" s="438"/>
      <c r="E697" s="438"/>
      <c r="F697" s="438"/>
      <c r="G697" s="438"/>
    </row>
    <row r="698" spans="1:7" ht="12.75">
      <c r="A698" s="438"/>
      <c r="B698" s="438"/>
      <c r="C698" s="438"/>
      <c r="D698" s="438"/>
      <c r="E698" s="438"/>
      <c r="F698" s="438"/>
      <c r="G698" s="438"/>
    </row>
    <row r="699" spans="1:7" ht="12.75">
      <c r="A699" s="438"/>
      <c r="B699" s="438"/>
      <c r="C699" s="438"/>
      <c r="D699" s="438"/>
      <c r="E699" s="438"/>
      <c r="F699" s="438"/>
      <c r="G699" s="438"/>
    </row>
    <row r="700" spans="1:7" ht="12.75">
      <c r="A700" s="438"/>
      <c r="B700" s="438"/>
      <c r="C700" s="438"/>
      <c r="D700" s="438"/>
      <c r="E700" s="438"/>
      <c r="F700" s="438"/>
      <c r="G700" s="438"/>
    </row>
    <row r="701" spans="1:7" ht="12.75">
      <c r="A701" s="438"/>
      <c r="B701" s="438"/>
      <c r="C701" s="438"/>
      <c r="D701" s="438"/>
      <c r="E701" s="438"/>
      <c r="F701" s="438"/>
      <c r="G701" s="438"/>
    </row>
    <row r="702" spans="1:7" ht="12.75">
      <c r="A702" s="438"/>
      <c r="B702" s="438"/>
      <c r="C702" s="438"/>
      <c r="D702" s="438"/>
      <c r="E702" s="438"/>
      <c r="F702" s="438"/>
      <c r="G702" s="438"/>
    </row>
    <row r="703" spans="1:7" ht="12.75">
      <c r="A703" s="438"/>
      <c r="B703" s="438"/>
      <c r="C703" s="438"/>
      <c r="D703" s="438"/>
      <c r="E703" s="438"/>
      <c r="F703" s="438"/>
      <c r="G703" s="438"/>
    </row>
    <row r="704" spans="1:7" ht="12.75">
      <c r="A704" s="438"/>
      <c r="B704" s="438"/>
      <c r="C704" s="438"/>
      <c r="D704" s="438"/>
      <c r="E704" s="438"/>
      <c r="F704" s="438"/>
      <c r="G704" s="438"/>
    </row>
    <row r="705" spans="1:7" ht="12.75">
      <c r="A705" s="438"/>
      <c r="B705" s="438"/>
      <c r="C705" s="438"/>
      <c r="D705" s="438"/>
      <c r="E705" s="438"/>
      <c r="F705" s="438"/>
      <c r="G705" s="438"/>
    </row>
    <row r="706" spans="1:7" ht="12.75">
      <c r="A706" s="438"/>
      <c r="B706" s="438"/>
      <c r="C706" s="438"/>
      <c r="D706" s="438"/>
      <c r="E706" s="438"/>
      <c r="F706" s="438"/>
      <c r="G706" s="438"/>
    </row>
    <row r="707" spans="1:7" ht="12.75">
      <c r="A707" s="438"/>
      <c r="B707" s="438"/>
      <c r="C707" s="438"/>
      <c r="D707" s="438"/>
      <c r="E707" s="438"/>
      <c r="F707" s="438"/>
      <c r="G707" s="438"/>
    </row>
    <row r="708" spans="1:7" ht="12.75">
      <c r="A708" s="438"/>
      <c r="B708" s="438"/>
      <c r="C708" s="438"/>
      <c r="D708" s="438"/>
      <c r="E708" s="438"/>
      <c r="F708" s="438"/>
      <c r="G708" s="438"/>
    </row>
    <row r="709" spans="1:7" ht="12.75">
      <c r="A709" s="438"/>
      <c r="B709" s="438"/>
      <c r="C709" s="438"/>
      <c r="D709" s="438"/>
      <c r="E709" s="438"/>
      <c r="F709" s="438"/>
      <c r="G709" s="438"/>
    </row>
    <row r="710" spans="1:7" ht="12.75">
      <c r="A710" s="438"/>
      <c r="B710" s="438"/>
      <c r="C710" s="438"/>
      <c r="D710" s="438"/>
      <c r="E710" s="438"/>
      <c r="F710" s="438"/>
      <c r="G710" s="438"/>
    </row>
    <row r="711" spans="1:7" ht="12.75">
      <c r="A711" s="438"/>
      <c r="B711" s="438"/>
      <c r="C711" s="438"/>
      <c r="D711" s="438"/>
      <c r="E711" s="438"/>
      <c r="F711" s="438"/>
      <c r="G711" s="438"/>
    </row>
    <row r="712" spans="1:7" ht="12.75">
      <c r="A712" s="438"/>
      <c r="B712" s="438"/>
      <c r="C712" s="438"/>
      <c r="D712" s="438"/>
      <c r="E712" s="438"/>
      <c r="F712" s="438"/>
      <c r="G712" s="438"/>
    </row>
    <row r="713" spans="1:7" ht="12.75">
      <c r="A713" s="438"/>
      <c r="B713" s="438"/>
      <c r="C713" s="438"/>
      <c r="D713" s="438"/>
      <c r="E713" s="438"/>
      <c r="F713" s="438"/>
      <c r="G713" s="438"/>
    </row>
    <row r="714" spans="1:7" ht="12.75">
      <c r="A714" s="438"/>
      <c r="B714" s="438"/>
      <c r="C714" s="438"/>
      <c r="D714" s="438"/>
      <c r="E714" s="438"/>
      <c r="F714" s="438"/>
      <c r="G714" s="438"/>
    </row>
    <row r="715" spans="1:7" ht="12.75">
      <c r="A715" s="438"/>
      <c r="B715" s="438"/>
      <c r="C715" s="438"/>
      <c r="D715" s="438"/>
      <c r="E715" s="438"/>
      <c r="F715" s="438"/>
      <c r="G715" s="438"/>
    </row>
    <row r="716" spans="1:7" ht="12.75">
      <c r="A716" s="438"/>
      <c r="B716" s="438"/>
      <c r="C716" s="438"/>
      <c r="D716" s="438"/>
      <c r="E716" s="438"/>
      <c r="F716" s="438"/>
      <c r="G716" s="438"/>
    </row>
    <row r="717" spans="1:7" ht="12.75">
      <c r="A717" s="438"/>
      <c r="B717" s="438"/>
      <c r="C717" s="438"/>
      <c r="D717" s="438"/>
      <c r="E717" s="438"/>
      <c r="F717" s="438"/>
      <c r="G717" s="438"/>
    </row>
    <row r="718" spans="1:7" ht="12.75">
      <c r="A718" s="438"/>
      <c r="B718" s="438"/>
      <c r="C718" s="438"/>
      <c r="D718" s="438"/>
      <c r="E718" s="438"/>
      <c r="F718" s="438"/>
      <c r="G718" s="438"/>
    </row>
    <row r="719" spans="1:7" ht="12.75">
      <c r="A719" s="438"/>
      <c r="B719" s="438"/>
      <c r="C719" s="438"/>
      <c r="D719" s="438"/>
      <c r="E719" s="438"/>
      <c r="F719" s="438"/>
      <c r="G719" s="438"/>
    </row>
    <row r="720" spans="1:7" ht="12.75">
      <c r="A720" s="438"/>
      <c r="B720" s="438"/>
      <c r="C720" s="438"/>
      <c r="D720" s="438"/>
      <c r="E720" s="438"/>
      <c r="F720" s="438"/>
      <c r="G720" s="438"/>
    </row>
    <row r="721" spans="1:7" ht="12.75">
      <c r="A721" s="438"/>
      <c r="B721" s="438"/>
      <c r="C721" s="438"/>
      <c r="D721" s="438"/>
      <c r="E721" s="438"/>
      <c r="F721" s="438"/>
      <c r="G721" s="438"/>
    </row>
    <row r="722" spans="1:7" ht="12.75">
      <c r="A722" s="438"/>
      <c r="B722" s="438"/>
      <c r="C722" s="438"/>
      <c r="D722" s="438"/>
      <c r="E722" s="438"/>
      <c r="F722" s="438"/>
      <c r="G722" s="438"/>
    </row>
    <row r="723" spans="1:7" ht="12.75">
      <c r="A723" s="438"/>
      <c r="B723" s="438"/>
      <c r="C723" s="438"/>
      <c r="D723" s="438"/>
      <c r="E723" s="438"/>
      <c r="F723" s="438"/>
      <c r="G723" s="438"/>
    </row>
    <row r="724" spans="1:7" ht="12.75">
      <c r="A724" s="438"/>
      <c r="B724" s="438"/>
      <c r="C724" s="438"/>
      <c r="D724" s="438"/>
      <c r="E724" s="438"/>
      <c r="F724" s="438"/>
      <c r="G724" s="438"/>
    </row>
    <row r="725" spans="1:7" ht="12.75">
      <c r="A725" s="438"/>
      <c r="B725" s="438"/>
      <c r="C725" s="438"/>
      <c r="D725" s="438"/>
      <c r="E725" s="438"/>
      <c r="F725" s="438"/>
      <c r="G725" s="438"/>
    </row>
    <row r="726" spans="1:7" ht="12.75">
      <c r="A726" s="438"/>
      <c r="B726" s="438"/>
      <c r="C726" s="438"/>
      <c r="D726" s="438"/>
      <c r="E726" s="438"/>
      <c r="F726" s="438"/>
      <c r="G726" s="438"/>
    </row>
    <row r="727" spans="1:7" ht="12.75">
      <c r="A727" s="438"/>
      <c r="B727" s="438"/>
      <c r="C727" s="438"/>
      <c r="D727" s="438"/>
      <c r="E727" s="438"/>
      <c r="F727" s="438"/>
      <c r="G727" s="438"/>
    </row>
    <row r="728" spans="1:7" ht="12.75">
      <c r="A728" s="438"/>
      <c r="B728" s="438"/>
      <c r="C728" s="438"/>
      <c r="D728" s="438"/>
      <c r="E728" s="438"/>
      <c r="F728" s="438"/>
      <c r="G728" s="438"/>
    </row>
    <row r="729" spans="1:7" ht="12.75">
      <c r="A729" s="438"/>
      <c r="B729" s="438"/>
      <c r="C729" s="438"/>
      <c r="D729" s="438"/>
      <c r="E729" s="438"/>
      <c r="F729" s="438"/>
      <c r="G729" s="438"/>
    </row>
    <row r="730" spans="1:7" ht="12.75">
      <c r="A730" s="438"/>
      <c r="B730" s="438"/>
      <c r="C730" s="438"/>
      <c r="D730" s="438"/>
      <c r="E730" s="438"/>
      <c r="F730" s="438"/>
      <c r="G730" s="438"/>
    </row>
    <row r="731" spans="1:7" ht="12.75">
      <c r="A731" s="438"/>
      <c r="B731" s="438"/>
      <c r="C731" s="438"/>
      <c r="D731" s="438"/>
      <c r="E731" s="438"/>
      <c r="F731" s="438"/>
      <c r="G731" s="438"/>
    </row>
    <row r="732" spans="1:7" ht="12.75">
      <c r="A732" s="438"/>
      <c r="B732" s="438"/>
      <c r="C732" s="438"/>
      <c r="D732" s="438"/>
      <c r="E732" s="438"/>
      <c r="F732" s="438"/>
      <c r="G732" s="438"/>
    </row>
    <row r="733" spans="1:7" ht="12.75">
      <c r="A733" s="438"/>
      <c r="B733" s="438"/>
      <c r="C733" s="438"/>
      <c r="D733" s="438"/>
      <c r="E733" s="438"/>
      <c r="F733" s="438"/>
      <c r="G733" s="438"/>
    </row>
    <row r="734" spans="1:7" ht="12.75">
      <c r="A734" s="438"/>
      <c r="B734" s="438"/>
      <c r="C734" s="438"/>
      <c r="D734" s="438"/>
      <c r="E734" s="438"/>
      <c r="F734" s="438"/>
      <c r="G734" s="438"/>
    </row>
    <row r="735" spans="1:7" ht="12.75">
      <c r="A735" s="438"/>
      <c r="B735" s="438"/>
      <c r="C735" s="438"/>
      <c r="D735" s="438"/>
      <c r="E735" s="438"/>
      <c r="F735" s="438"/>
      <c r="G735" s="438"/>
    </row>
    <row r="736" spans="1:7" ht="12.75">
      <c r="A736" s="438"/>
      <c r="B736" s="438"/>
      <c r="C736" s="438"/>
      <c r="D736" s="438"/>
      <c r="E736" s="438"/>
      <c r="F736" s="438"/>
      <c r="G736" s="438"/>
    </row>
    <row r="737" spans="1:7" ht="12.75">
      <c r="A737" s="438"/>
      <c r="B737" s="438"/>
      <c r="C737" s="438"/>
      <c r="D737" s="438"/>
      <c r="E737" s="438"/>
      <c r="F737" s="438"/>
      <c r="G737" s="438"/>
    </row>
    <row r="738" spans="1:7" ht="12.75">
      <c r="A738" s="438"/>
      <c r="B738" s="438"/>
      <c r="C738" s="438"/>
      <c r="D738" s="438"/>
      <c r="E738" s="438"/>
      <c r="F738" s="438"/>
      <c r="G738" s="438"/>
    </row>
    <row r="739" spans="1:7" ht="12.75">
      <c r="A739" s="438"/>
      <c r="B739" s="438"/>
      <c r="C739" s="438"/>
      <c r="D739" s="438"/>
      <c r="E739" s="438"/>
      <c r="F739" s="438"/>
      <c r="G739" s="438"/>
    </row>
    <row r="740" spans="1:7" ht="12.75">
      <c r="A740" s="438"/>
      <c r="B740" s="438"/>
      <c r="C740" s="438"/>
      <c r="D740" s="438"/>
      <c r="E740" s="438"/>
      <c r="F740" s="438"/>
      <c r="G740" s="438"/>
    </row>
    <row r="741" spans="1:7" ht="12.75">
      <c r="A741" s="438"/>
      <c r="B741" s="438"/>
      <c r="C741" s="438"/>
      <c r="D741" s="438"/>
      <c r="E741" s="438"/>
      <c r="F741" s="438"/>
      <c r="G741" s="438"/>
    </row>
    <row r="742" spans="1:7" ht="12.75">
      <c r="A742" s="438"/>
      <c r="B742" s="438"/>
      <c r="C742" s="438"/>
      <c r="D742" s="438"/>
      <c r="E742" s="438"/>
      <c r="F742" s="438"/>
      <c r="G742" s="438"/>
    </row>
    <row r="743" spans="1:7" ht="12.75">
      <c r="A743" s="438"/>
      <c r="B743" s="438"/>
      <c r="C743" s="438"/>
      <c r="D743" s="438"/>
      <c r="E743" s="438"/>
      <c r="F743" s="438"/>
      <c r="G743" s="438"/>
    </row>
    <row r="744" spans="1:7" ht="12.75">
      <c r="A744" s="438"/>
      <c r="B744" s="438"/>
      <c r="C744" s="438"/>
      <c r="D744" s="438"/>
      <c r="E744" s="438"/>
      <c r="F744" s="438"/>
      <c r="G744" s="438"/>
    </row>
    <row r="745" spans="1:7" ht="12.75">
      <c r="A745" s="438"/>
      <c r="B745" s="438"/>
      <c r="C745" s="438"/>
      <c r="D745" s="438"/>
      <c r="E745" s="438"/>
      <c r="F745" s="438"/>
      <c r="G745" s="438"/>
    </row>
    <row r="746" spans="1:7" ht="12.75">
      <c r="A746" s="438"/>
      <c r="B746" s="438"/>
      <c r="C746" s="438"/>
      <c r="D746" s="438"/>
      <c r="E746" s="438"/>
      <c r="F746" s="438"/>
      <c r="G746" s="438"/>
    </row>
    <row r="747" spans="1:7" ht="12.75">
      <c r="A747" s="438"/>
      <c r="B747" s="438"/>
      <c r="C747" s="438"/>
      <c r="D747" s="438"/>
      <c r="E747" s="438"/>
      <c r="F747" s="438"/>
      <c r="G747" s="438"/>
    </row>
    <row r="748" spans="1:7" ht="12.75">
      <c r="A748" s="438"/>
      <c r="B748" s="438"/>
      <c r="C748" s="438"/>
      <c r="D748" s="438"/>
      <c r="E748" s="438"/>
      <c r="F748" s="438"/>
      <c r="G748" s="438"/>
    </row>
    <row r="749" spans="1:7" ht="12.75">
      <c r="A749" s="438"/>
      <c r="B749" s="438"/>
      <c r="C749" s="438"/>
      <c r="D749" s="438"/>
      <c r="E749" s="438"/>
      <c r="F749" s="438"/>
      <c r="G749" s="438"/>
    </row>
    <row r="750" spans="1:7" ht="12.75">
      <c r="A750" s="438"/>
      <c r="B750" s="438"/>
      <c r="C750" s="438"/>
      <c r="D750" s="438"/>
      <c r="E750" s="438"/>
      <c r="F750" s="438"/>
      <c r="G750" s="438"/>
    </row>
    <row r="751" spans="1:7" ht="12.75">
      <c r="A751" s="438"/>
      <c r="B751" s="438"/>
      <c r="C751" s="438"/>
      <c r="D751" s="438"/>
      <c r="E751" s="438"/>
      <c r="F751" s="438"/>
      <c r="G751" s="438"/>
    </row>
    <row r="752" spans="1:7" ht="12.75">
      <c r="A752" s="438"/>
      <c r="B752" s="438"/>
      <c r="C752" s="438"/>
      <c r="D752" s="438"/>
      <c r="E752" s="438"/>
      <c r="F752" s="438"/>
      <c r="G752" s="438"/>
    </row>
    <row r="753" spans="1:7" ht="12.75">
      <c r="A753" s="438"/>
      <c r="B753" s="438"/>
      <c r="C753" s="438"/>
      <c r="D753" s="438"/>
      <c r="E753" s="438"/>
      <c r="F753" s="438"/>
      <c r="G753" s="438"/>
    </row>
    <row r="754" spans="1:7" ht="12.75">
      <c r="A754" s="438"/>
      <c r="B754" s="438"/>
      <c r="C754" s="438"/>
      <c r="D754" s="438"/>
      <c r="E754" s="438"/>
      <c r="F754" s="438"/>
      <c r="G754" s="438"/>
    </row>
    <row r="755" spans="1:7" ht="12.75">
      <c r="A755" s="438"/>
      <c r="B755" s="438"/>
      <c r="C755" s="438"/>
      <c r="D755" s="438"/>
      <c r="E755" s="438"/>
      <c r="F755" s="438"/>
      <c r="G755" s="438"/>
    </row>
    <row r="756" spans="1:7" ht="12.75">
      <c r="A756" s="438"/>
      <c r="B756" s="438"/>
      <c r="C756" s="438"/>
      <c r="D756" s="438"/>
      <c r="E756" s="438"/>
      <c r="F756" s="438"/>
      <c r="G756" s="438"/>
    </row>
    <row r="757" spans="1:7" ht="12.75">
      <c r="A757" s="438"/>
      <c r="B757" s="438"/>
      <c r="C757" s="438"/>
      <c r="D757" s="438"/>
      <c r="E757" s="438"/>
      <c r="F757" s="438"/>
      <c r="G757" s="438"/>
    </row>
    <row r="758" spans="1:7" ht="12.75">
      <c r="A758" s="438"/>
      <c r="B758" s="438"/>
      <c r="C758" s="438"/>
      <c r="D758" s="438"/>
      <c r="E758" s="438"/>
      <c r="F758" s="438"/>
      <c r="G758" s="438"/>
    </row>
    <row r="759" spans="1:7" ht="12.75">
      <c r="A759" s="438"/>
      <c r="B759" s="438"/>
      <c r="C759" s="438"/>
      <c r="D759" s="438"/>
      <c r="E759" s="438"/>
      <c r="F759" s="438"/>
      <c r="G759" s="438"/>
    </row>
    <row r="760" spans="1:7" ht="12.75">
      <c r="A760" s="438"/>
      <c r="B760" s="438"/>
      <c r="C760" s="438"/>
      <c r="D760" s="438"/>
      <c r="E760" s="438"/>
      <c r="F760" s="438"/>
      <c r="G760" s="438"/>
    </row>
    <row r="761" spans="1:7" ht="12.75">
      <c r="A761" s="438"/>
      <c r="B761" s="438"/>
      <c r="C761" s="438"/>
      <c r="D761" s="438"/>
      <c r="E761" s="438"/>
      <c r="F761" s="438"/>
      <c r="G761" s="438"/>
    </row>
    <row r="762" spans="1:7" ht="12.75">
      <c r="A762" s="438"/>
      <c r="B762" s="438"/>
      <c r="C762" s="438"/>
      <c r="D762" s="438"/>
      <c r="E762" s="438"/>
      <c r="F762" s="438"/>
      <c r="G762" s="438"/>
    </row>
    <row r="763" spans="1:7" ht="12.75">
      <c r="A763" s="438"/>
      <c r="B763" s="438"/>
      <c r="C763" s="438"/>
      <c r="D763" s="438"/>
      <c r="E763" s="438"/>
      <c r="F763" s="438"/>
      <c r="G763" s="438"/>
    </row>
    <row r="764" spans="1:7" ht="12.75">
      <c r="A764" s="438"/>
      <c r="B764" s="438"/>
      <c r="C764" s="438"/>
      <c r="D764" s="438"/>
      <c r="E764" s="438"/>
      <c r="F764" s="438"/>
      <c r="G764" s="438"/>
    </row>
    <row r="765" spans="1:7" ht="12.75">
      <c r="A765" s="438"/>
      <c r="B765" s="438"/>
      <c r="C765" s="438"/>
      <c r="D765" s="438"/>
      <c r="E765" s="438"/>
      <c r="F765" s="438"/>
      <c r="G765" s="438"/>
    </row>
    <row r="766" spans="1:7" ht="12.75">
      <c r="A766" s="438"/>
      <c r="B766" s="438"/>
      <c r="C766" s="438"/>
      <c r="D766" s="438"/>
      <c r="E766" s="438"/>
      <c r="F766" s="438"/>
      <c r="G766" s="438"/>
    </row>
    <row r="767" spans="1:7" ht="12.75">
      <c r="A767" s="438"/>
      <c r="B767" s="438"/>
      <c r="C767" s="438"/>
      <c r="D767" s="438"/>
      <c r="E767" s="438"/>
      <c r="F767" s="438"/>
      <c r="G767" s="438"/>
    </row>
    <row r="768" spans="1:7" ht="12.75">
      <c r="A768" s="438"/>
      <c r="B768" s="438"/>
      <c r="C768" s="438"/>
      <c r="D768" s="438"/>
      <c r="E768" s="438"/>
      <c r="F768" s="438"/>
      <c r="G768" s="438"/>
    </row>
    <row r="769" spans="1:7" ht="12.75">
      <c r="A769" s="438"/>
      <c r="B769" s="438"/>
      <c r="C769" s="438"/>
      <c r="D769" s="438"/>
      <c r="E769" s="438"/>
      <c r="F769" s="438"/>
      <c r="G769" s="438"/>
    </row>
    <row r="770" spans="1:7" ht="12.75">
      <c r="A770" s="438"/>
      <c r="B770" s="438"/>
      <c r="C770" s="438"/>
      <c r="D770" s="438"/>
      <c r="E770" s="438"/>
      <c r="F770" s="438"/>
      <c r="G770" s="438"/>
    </row>
    <row r="771" spans="1:7" ht="12.75">
      <c r="A771" s="438"/>
      <c r="B771" s="438"/>
      <c r="C771" s="438"/>
      <c r="D771" s="438"/>
      <c r="E771" s="438"/>
      <c r="F771" s="438"/>
      <c r="G771" s="438"/>
    </row>
    <row r="772" spans="1:7" ht="12.75">
      <c r="A772" s="438"/>
      <c r="B772" s="438"/>
      <c r="C772" s="438"/>
      <c r="D772" s="438"/>
      <c r="E772" s="438"/>
      <c r="F772" s="438"/>
      <c r="G772" s="438"/>
    </row>
    <row r="773" spans="1:7" ht="12.75">
      <c r="A773" s="438"/>
      <c r="B773" s="438"/>
      <c r="C773" s="438"/>
      <c r="D773" s="438"/>
      <c r="E773" s="438"/>
      <c r="F773" s="438"/>
      <c r="G773" s="438"/>
    </row>
    <row r="774" spans="1:7" ht="12.75">
      <c r="A774" s="438"/>
      <c r="B774" s="438"/>
      <c r="C774" s="438"/>
      <c r="D774" s="438"/>
      <c r="E774" s="438"/>
      <c r="F774" s="438"/>
      <c r="G774" s="438"/>
    </row>
    <row r="775" spans="1:7" ht="12.75">
      <c r="A775" s="438"/>
      <c r="B775" s="438"/>
      <c r="C775" s="438"/>
      <c r="D775" s="438"/>
      <c r="E775" s="438"/>
      <c r="F775" s="438"/>
      <c r="G775" s="438"/>
    </row>
    <row r="776" spans="1:7" ht="12.75">
      <c r="A776" s="438"/>
      <c r="B776" s="438"/>
      <c r="C776" s="438"/>
      <c r="D776" s="438"/>
      <c r="E776" s="438"/>
      <c r="F776" s="438"/>
      <c r="G776" s="438"/>
    </row>
    <row r="777" spans="1:7" ht="12.75">
      <c r="A777" s="438"/>
      <c r="B777" s="438"/>
      <c r="C777" s="438"/>
      <c r="D777" s="438"/>
      <c r="E777" s="438"/>
      <c r="F777" s="438"/>
      <c r="G777" s="438"/>
    </row>
    <row r="778" spans="1:7" ht="12.75">
      <c r="A778" s="438"/>
      <c r="B778" s="438"/>
      <c r="C778" s="438"/>
      <c r="D778" s="438"/>
      <c r="E778" s="438"/>
      <c r="F778" s="438"/>
      <c r="G778" s="438"/>
    </row>
    <row r="779" spans="1:7" ht="12.75">
      <c r="A779" s="438"/>
      <c r="B779" s="438"/>
      <c r="C779" s="438"/>
      <c r="D779" s="438"/>
      <c r="E779" s="438"/>
      <c r="F779" s="438"/>
      <c r="G779" s="438"/>
    </row>
    <row r="780" spans="1:7" ht="12.75">
      <c r="A780" s="438"/>
      <c r="B780" s="438"/>
      <c r="C780" s="438"/>
      <c r="D780" s="438"/>
      <c r="F780" s="438"/>
      <c r="G780" s="438"/>
    </row>
  </sheetData>
  <sheetProtection/>
  <printOptions/>
  <pageMargins left="0.75" right="0.75" top="1" bottom="1" header="0.5" footer="0.5"/>
  <pageSetup horizontalDpi="600" verticalDpi="600" orientation="landscape" paperSize="9" scale="85" r:id="rId2"/>
  <drawing r:id="rId1"/>
</worksheet>
</file>

<file path=xl/worksheets/sheet18.xml><?xml version="1.0" encoding="utf-8"?>
<worksheet xmlns="http://schemas.openxmlformats.org/spreadsheetml/2006/main" xmlns:r="http://schemas.openxmlformats.org/officeDocument/2006/relationships">
  <dimension ref="A2:I29"/>
  <sheetViews>
    <sheetView zoomScalePageLayoutView="0" workbookViewId="0" topLeftCell="B16">
      <selection activeCell="C2" sqref="C2:H2"/>
    </sheetView>
  </sheetViews>
  <sheetFormatPr defaultColWidth="9.00390625" defaultRowHeight="12.75"/>
  <cols>
    <col min="1" max="1" width="4.125" style="0" customWidth="1"/>
    <col min="2" max="2" width="10.75390625" style="0" customWidth="1"/>
    <col min="6" max="6" width="17.75390625" style="0" customWidth="1"/>
    <col min="9" max="9" width="12.00390625" style="0" bestFit="1" customWidth="1"/>
  </cols>
  <sheetData>
    <row r="2" spans="3:8" ht="18">
      <c r="C2" s="691" t="s">
        <v>1007</v>
      </c>
      <c r="D2" s="691"/>
      <c r="E2" s="691"/>
      <c r="F2" s="691"/>
      <c r="G2" s="691"/>
      <c r="H2" s="691"/>
    </row>
    <row r="4" spans="1:9" ht="24" customHeight="1">
      <c r="A4" s="455" t="s">
        <v>110</v>
      </c>
      <c r="B4" s="692" t="s">
        <v>312</v>
      </c>
      <c r="C4" s="692"/>
      <c r="D4" s="692"/>
      <c r="E4" s="692"/>
      <c r="F4" s="692"/>
      <c r="G4" s="502">
        <v>2002</v>
      </c>
      <c r="H4" s="502">
        <v>2003</v>
      </c>
      <c r="I4" s="502">
        <v>2004</v>
      </c>
    </row>
    <row r="5" spans="1:9" ht="12.75">
      <c r="A5" s="453">
        <v>1</v>
      </c>
      <c r="B5" s="685" t="s">
        <v>11</v>
      </c>
      <c r="C5" s="686"/>
      <c r="D5" s="686"/>
      <c r="E5" s="686"/>
      <c r="F5" s="687"/>
      <c r="G5" s="237">
        <f>'Ф4'!C49</f>
        <v>-364</v>
      </c>
      <c r="H5" s="237">
        <f>'Ф4'!D49</f>
        <v>8045</v>
      </c>
      <c r="I5" s="237">
        <f>'Ф4'!E49</f>
        <v>-7715</v>
      </c>
    </row>
    <row r="6" spans="1:9" ht="12.75">
      <c r="A6" s="453">
        <v>2</v>
      </c>
      <c r="B6" s="678" t="s">
        <v>12</v>
      </c>
      <c r="C6" s="679"/>
      <c r="D6" s="679"/>
      <c r="E6" s="679"/>
      <c r="F6" s="679"/>
      <c r="G6" s="237">
        <f>'Ф4'!C45</f>
        <v>12000</v>
      </c>
      <c r="H6" s="237">
        <f>'Ф4'!D45</f>
        <v>898</v>
      </c>
      <c r="I6" s="237">
        <f>'Ф4'!E45</f>
        <v>0</v>
      </c>
    </row>
    <row r="7" spans="1:9" ht="12.75">
      <c r="A7" s="453">
        <v>3</v>
      </c>
      <c r="B7" s="678" t="s">
        <v>279</v>
      </c>
      <c r="C7" s="679"/>
      <c r="D7" s="679"/>
      <c r="E7" s="679"/>
      <c r="F7" s="679"/>
      <c r="G7" s="237">
        <f>'Ф4'!C16</f>
        <v>0</v>
      </c>
      <c r="H7" s="237">
        <f>'Ф4'!D16</f>
        <v>0</v>
      </c>
      <c r="I7" s="237">
        <f>'Ф4'!E16</f>
        <v>0</v>
      </c>
    </row>
    <row r="8" spans="1:9" ht="12.75">
      <c r="A8" s="453">
        <v>4</v>
      </c>
      <c r="B8" s="678" t="s">
        <v>280</v>
      </c>
      <c r="C8" s="679"/>
      <c r="D8" s="679"/>
      <c r="E8" s="679"/>
      <c r="F8" s="679"/>
      <c r="G8" s="237">
        <f>'Ф4'!C12+'Ф4'!C32+'Ф4'!C33+'Ф4'!C36+'Ф4'!C37+'Ф4'!C45+'Ф4'!C46+'Ф4'!C47</f>
        <v>83695</v>
      </c>
      <c r="H8" s="237">
        <f>'Ф4'!D12+'Ф4'!D32+'Ф4'!D33+'Ф4'!D36+'Ф4'!D37+'Ф4'!D45+'Ф4'!D46+'Ф4'!D47</f>
        <v>115037</v>
      </c>
      <c r="I8" s="237">
        <f>'Ф4'!E12+'Ф4'!E32+'Ф4'!E33+'Ф4'!E36+'Ф4'!E37+'Ф4'!E45+'Ф4'!E46+'Ф4'!E47</f>
        <v>135128</v>
      </c>
    </row>
    <row r="9" spans="1:9" ht="25.5" customHeight="1">
      <c r="A9" s="453">
        <v>5</v>
      </c>
      <c r="B9" s="688" t="s">
        <v>281</v>
      </c>
      <c r="C9" s="689"/>
      <c r="D9" s="689"/>
      <c r="E9" s="689"/>
      <c r="F9" s="690"/>
      <c r="G9" s="237">
        <f>Данные!D13-Данные!C13</f>
        <v>3953</v>
      </c>
      <c r="H9" s="237">
        <f>Данные!E13-Данные!D13</f>
        <v>-26496</v>
      </c>
      <c r="I9" s="237">
        <f>Данные!F13-Данные!E13</f>
        <v>1278</v>
      </c>
    </row>
    <row r="10" spans="1:9" ht="15" customHeight="1">
      <c r="A10" s="453">
        <v>6</v>
      </c>
      <c r="B10" s="685" t="s">
        <v>282</v>
      </c>
      <c r="C10" s="686"/>
      <c r="D10" s="686"/>
      <c r="E10" s="686"/>
      <c r="F10" s="687"/>
      <c r="G10" s="237">
        <f>'Ф4'!C51-'Ф4'!C6</f>
        <v>-364</v>
      </c>
      <c r="H10" s="237">
        <f>'Ф4'!D51-'Ф4'!D6</f>
        <v>8045</v>
      </c>
      <c r="I10" s="237">
        <f>'Ф4'!E51-'Ф4'!E6</f>
        <v>-7715</v>
      </c>
    </row>
    <row r="11" spans="1:9" ht="12.75">
      <c r="A11" s="453">
        <v>7</v>
      </c>
      <c r="B11" s="678" t="s">
        <v>283</v>
      </c>
      <c r="C11" s="679"/>
      <c r="D11" s="679"/>
      <c r="E11" s="679"/>
      <c r="F11" s="679"/>
      <c r="G11" s="237">
        <f>'Ф4'!C7+'Ф4'!C22+'Ф4'!C26+'Ф4'!C28+'Ф4'!C29+'Ф4'!C30+'Ф4'!C40+'Ф4'!C43</f>
        <v>72297</v>
      </c>
      <c r="H11" s="237">
        <f>'Ф4'!D7+'Ф4'!D22+'Ф4'!D26+'Ф4'!D28+'Ф4'!D29+'Ф4'!D30+'Ф4'!D40+'Ф4'!D43</f>
        <v>87298</v>
      </c>
      <c r="I11" s="237">
        <f>'Ф4'!E7+'Ф4'!E22+'Ф4'!E26+'Ф4'!E28+'Ф4'!E29+'Ф4'!E30+'Ф4'!E40+'Ф4'!E43</f>
        <v>95412</v>
      </c>
    </row>
    <row r="12" spans="1:9" ht="12.75">
      <c r="A12" s="453">
        <v>8</v>
      </c>
      <c r="B12" s="678" t="s">
        <v>284</v>
      </c>
      <c r="C12" s="679"/>
      <c r="D12" s="679"/>
      <c r="E12" s="679"/>
      <c r="F12" s="679"/>
      <c r="G12" s="500">
        <f>Комплекс!B19</f>
        <v>15730</v>
      </c>
      <c r="H12" s="500">
        <f>Комплекс!C19</f>
        <v>15926</v>
      </c>
      <c r="I12" s="500">
        <f>Комплекс!D19</f>
        <v>37934</v>
      </c>
    </row>
    <row r="13" spans="1:9" ht="20.25" customHeight="1">
      <c r="A13" s="453">
        <v>9</v>
      </c>
      <c r="B13" s="678" t="s">
        <v>285</v>
      </c>
      <c r="C13" s="679"/>
      <c r="D13" s="679"/>
      <c r="E13" s="679"/>
      <c r="F13" s="679"/>
      <c r="G13" s="237">
        <f>('Ф4'!C6+'Ф4'!C51)/2</f>
        <v>382</v>
      </c>
      <c r="H13" s="237">
        <f>('Ф4'!D6+'Ф4'!D51)/2</f>
        <v>4222.5</v>
      </c>
      <c r="I13" s="237">
        <f>('Ф4'!E6+'Ф4'!E51)/2</f>
        <v>4387.5</v>
      </c>
    </row>
    <row r="14" spans="1:9" ht="12.75">
      <c r="A14" s="453">
        <v>10</v>
      </c>
      <c r="B14" s="678" t="s">
        <v>286</v>
      </c>
      <c r="C14" s="679"/>
      <c r="D14" s="679"/>
      <c r="E14" s="679"/>
      <c r="F14" s="679"/>
      <c r="G14" s="500">
        <f>Комплекс!B17</f>
        <v>10073</v>
      </c>
      <c r="H14" s="500">
        <f>Комплекс!C17</f>
        <v>9572</v>
      </c>
      <c r="I14" s="500">
        <f>Комплекс!D17</f>
        <v>28310</v>
      </c>
    </row>
    <row r="15" spans="1:9" ht="12.75">
      <c r="A15" s="453">
        <v>11</v>
      </c>
      <c r="B15" s="678" t="s">
        <v>287</v>
      </c>
      <c r="C15" s="679"/>
      <c r="D15" s="679"/>
      <c r="E15" s="679"/>
      <c r="F15" s="679"/>
      <c r="G15" s="237">
        <f>'Ф4'!C38</f>
        <v>-2000</v>
      </c>
      <c r="H15" s="237">
        <f>'Ф4'!D38</f>
        <v>-10354</v>
      </c>
      <c r="I15" s="237">
        <f>'Ф4'!E38</f>
        <v>-7185</v>
      </c>
    </row>
    <row r="16" spans="1:9" ht="24" customHeight="1">
      <c r="A16" s="453">
        <v>12</v>
      </c>
      <c r="B16" s="685" t="s">
        <v>288</v>
      </c>
      <c r="C16" s="686"/>
      <c r="D16" s="686"/>
      <c r="E16" s="686"/>
      <c r="F16" s="687"/>
      <c r="G16" s="237">
        <f>'Ф4'!C22+'Ф4'!C26+'Ф4'!C28+'Ф4'!C29+'Ф4'!C30</f>
        <v>0</v>
      </c>
      <c r="H16" s="237">
        <f>'Ф4'!D22+'Ф4'!D26+'Ф4'!D28+'Ф4'!D29+'Ф4'!D30</f>
        <v>0</v>
      </c>
      <c r="I16" s="237">
        <f>'Ф4'!E22+'Ф4'!E26+'Ф4'!E28+'Ф4'!E29+'Ф4'!E30</f>
        <v>0</v>
      </c>
    </row>
    <row r="17" spans="1:9" ht="12.75">
      <c r="A17" s="453">
        <v>13</v>
      </c>
      <c r="B17" s="678" t="s">
        <v>289</v>
      </c>
      <c r="C17" s="679"/>
      <c r="D17" s="679"/>
      <c r="E17" s="679"/>
      <c r="F17" s="679"/>
      <c r="G17" s="237">
        <f>'Ф4'!C48</f>
        <v>6000</v>
      </c>
      <c r="H17" s="237">
        <f>'Ф4'!D48</f>
        <v>19102</v>
      </c>
      <c r="I17" s="237">
        <f>'Ф4'!E48</f>
        <v>6327</v>
      </c>
    </row>
    <row r="18" spans="1:9" ht="21" customHeight="1">
      <c r="A18" s="453">
        <v>14</v>
      </c>
      <c r="B18" s="685" t="s">
        <v>290</v>
      </c>
      <c r="C18" s="686"/>
      <c r="D18" s="686"/>
      <c r="E18" s="686"/>
      <c r="F18" s="687"/>
      <c r="G18" s="237">
        <f>'Ф4'!C40+'Ф4'!C43</f>
        <v>18000</v>
      </c>
      <c r="H18" s="237">
        <f>'Ф4'!D40+'Ф4'!D43</f>
        <v>20000</v>
      </c>
      <c r="I18" s="237">
        <f>'Ф4'!E40+'Ф4'!E43</f>
        <v>6327</v>
      </c>
    </row>
    <row r="19" spans="1:9" ht="15" customHeight="1">
      <c r="A19" s="453">
        <v>15</v>
      </c>
      <c r="B19" s="678" t="s">
        <v>291</v>
      </c>
      <c r="C19" s="679"/>
      <c r="D19" s="679"/>
      <c r="E19" s="679"/>
      <c r="F19" s="679"/>
      <c r="G19" s="237">
        <f>'Ф4'!C43-'Ф4'!C37</f>
        <v>18000</v>
      </c>
      <c r="H19" s="237">
        <f>'Ф4'!D43-'Ф4'!D37</f>
        <v>20000</v>
      </c>
      <c r="I19" s="237">
        <f>'Ф4'!E43-'Ф4'!E37</f>
        <v>6327</v>
      </c>
    </row>
    <row r="20" spans="1:9" ht="25.5" customHeight="1">
      <c r="A20" s="456">
        <v>15</v>
      </c>
      <c r="B20" s="682" t="s">
        <v>292</v>
      </c>
      <c r="C20" s="683"/>
      <c r="D20" s="683"/>
      <c r="E20" s="683"/>
      <c r="F20" s="684"/>
      <c r="G20" s="501">
        <f>G5/(G6+G7+G19)</f>
        <v>-0.012133333333333333</v>
      </c>
      <c r="H20" s="501">
        <f>H5/(H6+H7+H19)</f>
        <v>0.38496506842760075</v>
      </c>
      <c r="I20" s="501">
        <f>I5/(I6+I7+I19)</f>
        <v>-1.219377272008851</v>
      </c>
    </row>
    <row r="21" spans="1:9" ht="12.75">
      <c r="A21" s="456">
        <v>16</v>
      </c>
      <c r="B21" s="680" t="s">
        <v>293</v>
      </c>
      <c r="C21" s="681"/>
      <c r="D21" s="681"/>
      <c r="E21" s="681"/>
      <c r="F21" s="681"/>
      <c r="G21" s="501">
        <f>G5/G8</f>
        <v>-0.004349124798375052</v>
      </c>
      <c r="H21" s="501">
        <f>H5/H8</f>
        <v>0.06993402122795274</v>
      </c>
      <c r="I21" s="501">
        <f>I5/I8</f>
        <v>-0.057094014563968974</v>
      </c>
    </row>
    <row r="22" spans="1:9" ht="12.75">
      <c r="A22" s="456">
        <v>17</v>
      </c>
      <c r="B22" s="680" t="s">
        <v>294</v>
      </c>
      <c r="C22" s="681"/>
      <c r="D22" s="681"/>
      <c r="E22" s="681"/>
      <c r="F22" s="681"/>
      <c r="G22" s="501">
        <f>(G5--G7)/G9</f>
        <v>-0.0920819630660258</v>
      </c>
      <c r="H22" s="501">
        <f>(H5--H7)/H9</f>
        <v>-0.30363073671497587</v>
      </c>
      <c r="I22" s="501">
        <f>(I5--I7)/I9</f>
        <v>-6.036776212832551</v>
      </c>
    </row>
    <row r="23" spans="1:9" ht="12.75">
      <c r="A23" s="456">
        <v>18</v>
      </c>
      <c r="B23" s="680" t="s">
        <v>295</v>
      </c>
      <c r="C23" s="681"/>
      <c r="D23" s="681"/>
      <c r="E23" s="681"/>
      <c r="F23" s="681"/>
      <c r="G23" s="501">
        <f>(G5-G10)/G8</f>
        <v>0</v>
      </c>
      <c r="H23" s="501">
        <f>(H5-H10)/H8</f>
        <v>0</v>
      </c>
      <c r="I23" s="501">
        <f>(I5-I10)/I8</f>
        <v>0</v>
      </c>
    </row>
    <row r="24" spans="1:9" ht="14.25" customHeight="1">
      <c r="A24" s="456">
        <v>19</v>
      </c>
      <c r="B24" s="680" t="s">
        <v>296</v>
      </c>
      <c r="C24" s="681"/>
      <c r="D24" s="681"/>
      <c r="E24" s="681"/>
      <c r="F24" s="681"/>
      <c r="G24" s="501">
        <f>G12/G11</f>
        <v>0.21757472647551074</v>
      </c>
      <c r="H24" s="501">
        <f>H12/H11</f>
        <v>0.18243258722994798</v>
      </c>
      <c r="I24" s="501">
        <f>I12/I11</f>
        <v>0.39758101706284327</v>
      </c>
    </row>
    <row r="25" spans="1:9" ht="12.75">
      <c r="A25" s="456">
        <v>20</v>
      </c>
      <c r="B25" s="680" t="s">
        <v>297</v>
      </c>
      <c r="C25" s="681"/>
      <c r="D25" s="681"/>
      <c r="E25" s="681"/>
      <c r="F25" s="681"/>
      <c r="G25" s="501">
        <f>G12/G13</f>
        <v>41.17801047120419</v>
      </c>
      <c r="H25" s="501">
        <f>H12/H13</f>
        <v>3.771699230313795</v>
      </c>
      <c r="I25" s="501">
        <f>I12/I13</f>
        <v>8.645925925925926</v>
      </c>
    </row>
    <row r="26" spans="1:9" ht="12.75">
      <c r="A26" s="456">
        <v>21</v>
      </c>
      <c r="B26" s="680" t="s">
        <v>298</v>
      </c>
      <c r="C26" s="681"/>
      <c r="D26" s="681"/>
      <c r="E26" s="681"/>
      <c r="F26" s="681"/>
      <c r="G26" s="501">
        <f>G12/G5</f>
        <v>-43.214285714285715</v>
      </c>
      <c r="H26" s="501">
        <f>H12/H5</f>
        <v>1.9796146674953388</v>
      </c>
      <c r="I26" s="501">
        <f>I12/I5</f>
        <v>-4.916915100453662</v>
      </c>
    </row>
    <row r="27" spans="1:9" ht="25.5" customHeight="1">
      <c r="A27" s="456">
        <v>22</v>
      </c>
      <c r="B27" s="676" t="s">
        <v>299</v>
      </c>
      <c r="C27" s="677"/>
      <c r="D27" s="677"/>
      <c r="E27" s="677"/>
      <c r="F27" s="677"/>
      <c r="G27" s="501">
        <f>G14/G11</f>
        <v>0.13932804957328795</v>
      </c>
      <c r="H27" s="501">
        <f>H14/H11</f>
        <v>0.10964741460285458</v>
      </c>
      <c r="I27" s="501">
        <f>I14/I11</f>
        <v>0.2967132016937073</v>
      </c>
    </row>
    <row r="28" spans="1:9" ht="24" customHeight="1">
      <c r="A28" s="456">
        <v>23</v>
      </c>
      <c r="B28" s="676" t="s">
        <v>300</v>
      </c>
      <c r="C28" s="677"/>
      <c r="D28" s="677"/>
      <c r="E28" s="677"/>
      <c r="F28" s="677"/>
      <c r="G28" s="501" t="e">
        <f>G15/G16</f>
        <v>#DIV/0!</v>
      </c>
      <c r="H28" s="501" t="e">
        <f>H15/H16</f>
        <v>#DIV/0!</v>
      </c>
      <c r="I28" s="501" t="e">
        <f>I15/I16</f>
        <v>#DIV/0!</v>
      </c>
    </row>
    <row r="29" spans="1:9" ht="24.75" customHeight="1">
      <c r="A29" s="456">
        <v>24</v>
      </c>
      <c r="B29" s="676" t="s">
        <v>301</v>
      </c>
      <c r="C29" s="677"/>
      <c r="D29" s="677"/>
      <c r="E29" s="677"/>
      <c r="F29" s="677"/>
      <c r="G29" s="501">
        <f>G17/G18</f>
        <v>0.3333333333333333</v>
      </c>
      <c r="H29" s="501">
        <f>H17/H18</f>
        <v>0.9551</v>
      </c>
      <c r="I29" s="501">
        <f>I17/I18</f>
        <v>1</v>
      </c>
    </row>
  </sheetData>
  <sheetProtection/>
  <mergeCells count="27">
    <mergeCell ref="B7:F7"/>
    <mergeCell ref="B8:F8"/>
    <mergeCell ref="B9:F9"/>
    <mergeCell ref="B10:F10"/>
    <mergeCell ref="C2:H2"/>
    <mergeCell ref="B4:F4"/>
    <mergeCell ref="B5:F5"/>
    <mergeCell ref="B6:F6"/>
    <mergeCell ref="B20:F20"/>
    <mergeCell ref="B15:F15"/>
    <mergeCell ref="B16:F16"/>
    <mergeCell ref="B17:F17"/>
    <mergeCell ref="B18:F18"/>
    <mergeCell ref="B11:F11"/>
    <mergeCell ref="B12:F12"/>
    <mergeCell ref="B13:F13"/>
    <mergeCell ref="B14:F14"/>
    <mergeCell ref="B28:F28"/>
    <mergeCell ref="B29:F29"/>
    <mergeCell ref="B19:F19"/>
    <mergeCell ref="B27:F27"/>
    <mergeCell ref="B26:F26"/>
    <mergeCell ref="B25:F25"/>
    <mergeCell ref="B24:F24"/>
    <mergeCell ref="B23:F23"/>
    <mergeCell ref="B22:F22"/>
    <mergeCell ref="B21:F21"/>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25:D37"/>
  <sheetViews>
    <sheetView zoomScalePageLayoutView="0" workbookViewId="0" topLeftCell="A1">
      <selection activeCell="B28" sqref="B28"/>
    </sheetView>
  </sheetViews>
  <sheetFormatPr defaultColWidth="9.00390625" defaultRowHeight="12.75"/>
  <cols>
    <col min="1" max="1" width="33.625" style="0" customWidth="1"/>
    <col min="2" max="2" width="15.125" style="0" customWidth="1"/>
    <col min="3" max="3" width="13.625" style="0" customWidth="1"/>
    <col min="4" max="4" width="14.00390625" style="0" customWidth="1"/>
  </cols>
  <sheetData>
    <row r="25" spans="1:4" ht="12.75">
      <c r="A25" s="108"/>
      <c r="B25" s="108"/>
      <c r="C25" s="108"/>
      <c r="D25" s="108"/>
    </row>
    <row r="26" spans="1:4" ht="12.75">
      <c r="A26" s="475"/>
      <c r="B26" s="476"/>
      <c r="C26" s="476"/>
      <c r="D26" s="476"/>
    </row>
    <row r="27" spans="1:4" ht="12.75">
      <c r="A27" s="475"/>
      <c r="B27" s="476"/>
      <c r="C27" s="476"/>
      <c r="D27" s="476"/>
    </row>
    <row r="28" spans="1:4" ht="18.75" customHeight="1">
      <c r="A28" s="454" t="s">
        <v>602</v>
      </c>
      <c r="B28" s="454">
        <v>2002</v>
      </c>
      <c r="C28" s="454">
        <v>2003</v>
      </c>
      <c r="D28" s="454">
        <v>2004</v>
      </c>
    </row>
    <row r="29" spans="1:4" ht="24.75" customHeight="1">
      <c r="A29" s="64" t="s">
        <v>905</v>
      </c>
      <c r="B29" s="477">
        <v>11574</v>
      </c>
      <c r="C29" s="477">
        <v>-7903</v>
      </c>
      <c r="D29" s="477">
        <v>31534</v>
      </c>
    </row>
    <row r="30" spans="1:4" ht="12.75">
      <c r="A30" s="64" t="s">
        <v>804</v>
      </c>
      <c r="B30" s="477">
        <v>-157448</v>
      </c>
      <c r="C30" s="477">
        <v>923</v>
      </c>
      <c r="D30" s="477">
        <v>4800</v>
      </c>
    </row>
    <row r="31" spans="1:4" ht="12.75">
      <c r="A31" s="64" t="s">
        <v>805</v>
      </c>
      <c r="B31" s="477">
        <v>23114</v>
      </c>
      <c r="C31" s="477">
        <v>-11784</v>
      </c>
      <c r="D31" s="477">
        <v>-59039</v>
      </c>
    </row>
    <row r="32" spans="1:4" ht="12.75">
      <c r="A32" s="64" t="s">
        <v>806</v>
      </c>
      <c r="B32" s="477">
        <v>32749</v>
      </c>
      <c r="C32" s="477">
        <v>-414283</v>
      </c>
      <c r="D32" s="477">
        <v>97521</v>
      </c>
    </row>
    <row r="33" spans="1:4" ht="12.75">
      <c r="A33" s="64" t="s">
        <v>807</v>
      </c>
      <c r="B33" s="477">
        <v>-818</v>
      </c>
      <c r="C33" s="477">
        <v>-10638</v>
      </c>
      <c r="D33" s="477">
        <v>3884</v>
      </c>
    </row>
    <row r="34" spans="1:4" ht="12.75">
      <c r="A34" s="64" t="s">
        <v>808</v>
      </c>
      <c r="B34" s="477">
        <v>0</v>
      </c>
      <c r="C34" s="477">
        <v>62325</v>
      </c>
      <c r="D34" s="477">
        <v>-2037</v>
      </c>
    </row>
    <row r="35" spans="1:4" ht="12.75">
      <c r="A35" s="64" t="s">
        <v>809</v>
      </c>
      <c r="B35" s="477">
        <v>113977</v>
      </c>
      <c r="C35" s="477">
        <v>365554</v>
      </c>
      <c r="D35" s="477">
        <v>-13595</v>
      </c>
    </row>
    <row r="36" spans="1:4" ht="12.75">
      <c r="A36" s="342"/>
      <c r="B36" s="474"/>
      <c r="C36" s="474"/>
      <c r="D36" s="474"/>
    </row>
    <row r="37" spans="1:4" ht="12.75">
      <c r="A37" s="342"/>
      <c r="B37" s="474"/>
      <c r="C37" s="474"/>
      <c r="D37" s="474"/>
    </row>
  </sheetData>
  <sheetProtection/>
  <printOptions/>
  <pageMargins left="0.75" right="0.75" top="1" bottom="1" header="0.5" footer="0.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3:J58"/>
  <sheetViews>
    <sheetView zoomScalePageLayoutView="0" workbookViewId="0" topLeftCell="A28">
      <selection activeCell="E52" sqref="E52:E53"/>
    </sheetView>
  </sheetViews>
  <sheetFormatPr defaultColWidth="9.00390625" defaultRowHeight="12.75"/>
  <cols>
    <col min="1" max="1" width="39.875" style="191" customWidth="1"/>
    <col min="2" max="2" width="9.125" style="92" customWidth="1"/>
    <col min="3" max="3" width="10.125" style="0" customWidth="1"/>
    <col min="4" max="4" width="13.375" style="0" customWidth="1"/>
    <col min="5" max="5" width="12.375" style="0" customWidth="1"/>
  </cols>
  <sheetData>
    <row r="3" spans="1:5" ht="12.75">
      <c r="A3" s="538" t="s">
        <v>838</v>
      </c>
      <c r="B3" s="539"/>
      <c r="C3" s="539"/>
      <c r="D3" s="539"/>
      <c r="E3" s="540"/>
    </row>
    <row r="4" spans="1:10" ht="12.75">
      <c r="A4" s="541" t="s">
        <v>312</v>
      </c>
      <c r="B4" s="542"/>
      <c r="C4" s="543">
        <v>2002</v>
      </c>
      <c r="D4" s="543">
        <v>2003</v>
      </c>
      <c r="E4" s="543">
        <v>2004</v>
      </c>
      <c r="F4" s="191"/>
      <c r="G4" s="191"/>
      <c r="H4" s="191"/>
      <c r="I4" s="191"/>
      <c r="J4" s="191"/>
    </row>
    <row r="5" spans="1:10" ht="13.5" thickBot="1">
      <c r="A5" s="192" t="s">
        <v>839</v>
      </c>
      <c r="B5" s="193" t="s">
        <v>840</v>
      </c>
      <c r="C5" s="544"/>
      <c r="D5" s="544"/>
      <c r="E5" s="544"/>
      <c r="F5" s="191"/>
      <c r="G5" s="191"/>
      <c r="H5" s="191"/>
      <c r="I5" s="191"/>
      <c r="J5" s="191"/>
    </row>
    <row r="6" spans="1:10" ht="22.5">
      <c r="A6" s="269" t="s">
        <v>841</v>
      </c>
      <c r="B6" s="320" t="s">
        <v>678</v>
      </c>
      <c r="C6" s="431">
        <v>564</v>
      </c>
      <c r="D6" s="431">
        <v>200</v>
      </c>
      <c r="E6" s="432">
        <v>8245</v>
      </c>
      <c r="F6" s="191"/>
      <c r="G6" s="191"/>
      <c r="H6" s="191"/>
      <c r="I6" s="191"/>
      <c r="J6" s="191"/>
    </row>
    <row r="7" spans="1:10" ht="22.5">
      <c r="A7" s="269" t="s">
        <v>842</v>
      </c>
      <c r="B7" s="545" t="s">
        <v>681</v>
      </c>
      <c r="C7" s="523">
        <v>54297</v>
      </c>
      <c r="D7" s="523">
        <v>67298</v>
      </c>
      <c r="E7" s="521">
        <v>89085</v>
      </c>
      <c r="F7" s="191"/>
      <c r="G7" s="191"/>
      <c r="H7" s="191"/>
      <c r="I7" s="191"/>
      <c r="J7" s="191"/>
    </row>
    <row r="8" spans="1:10" ht="12.75">
      <c r="A8" s="270" t="s">
        <v>843</v>
      </c>
      <c r="B8" s="546"/>
      <c r="C8" s="527"/>
      <c r="D8" s="527"/>
      <c r="E8" s="522"/>
      <c r="F8" s="508"/>
      <c r="G8" s="194"/>
      <c r="H8" s="191"/>
      <c r="I8" s="191"/>
      <c r="J8" s="191"/>
    </row>
    <row r="9" spans="1:10" ht="12.75">
      <c r="A9" s="270" t="s">
        <v>1035</v>
      </c>
      <c r="B9" s="321" t="s">
        <v>685</v>
      </c>
      <c r="C9" s="433">
        <v>0</v>
      </c>
      <c r="D9" s="433">
        <v>0</v>
      </c>
      <c r="E9" s="434">
        <v>0</v>
      </c>
      <c r="F9" s="191"/>
      <c r="G9" s="191"/>
      <c r="H9" s="191"/>
      <c r="I9" s="191"/>
      <c r="J9" s="191"/>
    </row>
    <row r="10" spans="1:10" ht="12.75">
      <c r="A10" s="270" t="s">
        <v>445</v>
      </c>
      <c r="B10" s="321" t="s">
        <v>686</v>
      </c>
      <c r="C10" s="435">
        <v>1303</v>
      </c>
      <c r="D10" s="435">
        <v>9215</v>
      </c>
      <c r="E10" s="436">
        <v>9024</v>
      </c>
      <c r="F10" s="191"/>
      <c r="G10" s="194"/>
      <c r="H10" s="194"/>
      <c r="I10" s="191"/>
      <c r="J10" s="191"/>
    </row>
    <row r="11" spans="1:10" ht="12.75">
      <c r="A11" s="270" t="s">
        <v>844</v>
      </c>
      <c r="B11" s="321" t="s">
        <v>687</v>
      </c>
      <c r="C11" s="435">
        <v>9731</v>
      </c>
      <c r="D11" s="435">
        <v>26569</v>
      </c>
      <c r="E11" s="436">
        <v>22977</v>
      </c>
      <c r="F11" s="191"/>
      <c r="G11" s="195"/>
      <c r="H11" s="195"/>
      <c r="I11" s="191"/>
      <c r="J11" s="191"/>
    </row>
    <row r="12" spans="1:10" ht="12.75">
      <c r="A12" s="270" t="s">
        <v>845</v>
      </c>
      <c r="B12" s="266" t="s">
        <v>846</v>
      </c>
      <c r="C12" s="435">
        <f>SUM(C13:C20)</f>
        <v>69695</v>
      </c>
      <c r="D12" s="435">
        <f>SUM(D13:D20)</f>
        <v>103785</v>
      </c>
      <c r="E12" s="436">
        <f>SUM(E13:E20)</f>
        <v>127943</v>
      </c>
      <c r="F12" s="191"/>
      <c r="G12" s="195"/>
      <c r="H12" s="195"/>
      <c r="I12" s="191"/>
      <c r="J12" s="191"/>
    </row>
    <row r="13" spans="1:10" ht="22.5">
      <c r="A13" s="271" t="s">
        <v>847</v>
      </c>
      <c r="B13" s="529">
        <v>150</v>
      </c>
      <c r="C13" s="523">
        <v>31734</v>
      </c>
      <c r="D13" s="523">
        <v>63238</v>
      </c>
      <c r="E13" s="521">
        <v>81380</v>
      </c>
      <c r="F13" s="191"/>
      <c r="G13" s="197"/>
      <c r="H13" s="197"/>
      <c r="I13" s="191"/>
      <c r="J13" s="191"/>
    </row>
    <row r="14" spans="1:10" ht="12.75">
      <c r="A14" s="272" t="s">
        <v>848</v>
      </c>
      <c r="B14" s="529"/>
      <c r="C14" s="527"/>
      <c r="D14" s="527"/>
      <c r="E14" s="522"/>
      <c r="F14" s="191"/>
      <c r="G14" s="197"/>
      <c r="H14" s="197"/>
      <c r="I14" s="191"/>
      <c r="J14" s="191"/>
    </row>
    <row r="15" spans="1:10" ht="12.75">
      <c r="A15" s="270" t="s">
        <v>849</v>
      </c>
      <c r="B15" s="266">
        <v>160</v>
      </c>
      <c r="C15" s="433">
        <v>11748</v>
      </c>
      <c r="D15" s="433">
        <v>11767</v>
      </c>
      <c r="E15" s="434">
        <v>11900</v>
      </c>
      <c r="F15" s="191"/>
      <c r="G15" s="197"/>
      <c r="H15" s="197"/>
      <c r="I15" s="191"/>
      <c r="J15" s="191"/>
    </row>
    <row r="16" spans="1:10" ht="12.75">
      <c r="A16" s="270" t="s">
        <v>858</v>
      </c>
      <c r="B16" s="266">
        <v>170</v>
      </c>
      <c r="C16" s="435">
        <v>0</v>
      </c>
      <c r="D16" s="435">
        <v>0</v>
      </c>
      <c r="E16" s="436">
        <v>0</v>
      </c>
      <c r="F16" s="191"/>
      <c r="G16" s="197"/>
      <c r="H16" s="197"/>
      <c r="I16" s="191"/>
      <c r="J16" s="191"/>
    </row>
    <row r="17" spans="1:10" ht="12.75">
      <c r="A17" s="270" t="s">
        <v>859</v>
      </c>
      <c r="B17" s="266">
        <v>180</v>
      </c>
      <c r="C17" s="435">
        <v>5490</v>
      </c>
      <c r="D17" s="435">
        <v>5660</v>
      </c>
      <c r="E17" s="436">
        <v>6048</v>
      </c>
      <c r="F17" s="191"/>
      <c r="G17" s="197"/>
      <c r="H17" s="197"/>
      <c r="I17" s="191"/>
      <c r="J17" s="191"/>
    </row>
    <row r="18" spans="1:10" ht="12.75">
      <c r="A18" s="270" t="s">
        <v>860</v>
      </c>
      <c r="B18" s="266">
        <v>181</v>
      </c>
      <c r="C18" s="435">
        <v>0</v>
      </c>
      <c r="D18" s="435">
        <v>0</v>
      </c>
      <c r="E18" s="436">
        <v>0</v>
      </c>
      <c r="F18" s="191"/>
      <c r="G18" s="197"/>
      <c r="H18" s="197"/>
      <c r="I18" s="191"/>
      <c r="J18" s="191"/>
    </row>
    <row r="19" spans="1:10" ht="12.75">
      <c r="A19" s="270" t="s">
        <v>861</v>
      </c>
      <c r="B19" s="266">
        <v>182</v>
      </c>
      <c r="C19" s="435"/>
      <c r="D19" s="435">
        <v>0</v>
      </c>
      <c r="E19" s="436">
        <v>0</v>
      </c>
      <c r="F19" s="191"/>
      <c r="G19" s="197"/>
      <c r="H19" s="197"/>
      <c r="I19" s="191"/>
      <c r="J19" s="191"/>
    </row>
    <row r="20" spans="1:10" ht="12.75">
      <c r="A20" s="270" t="s">
        <v>862</v>
      </c>
      <c r="B20" s="266">
        <v>190</v>
      </c>
      <c r="C20" s="435">
        <f>8399+12324</f>
        <v>20723</v>
      </c>
      <c r="D20" s="435">
        <f>5293+17827</f>
        <v>23120</v>
      </c>
      <c r="E20" s="436">
        <f>24723+3892</f>
        <v>28615</v>
      </c>
      <c r="F20" s="191"/>
      <c r="G20" s="197"/>
      <c r="H20" s="197"/>
      <c r="I20" s="191"/>
      <c r="J20" s="191"/>
    </row>
    <row r="21" spans="1:10" ht="22.5">
      <c r="A21" s="270" t="s">
        <v>863</v>
      </c>
      <c r="B21" s="266">
        <v>200</v>
      </c>
      <c r="C21" s="435">
        <f>SUM(C7:C11)-SUM(C13:C20)</f>
        <v>-4364</v>
      </c>
      <c r="D21" s="435">
        <f>SUM(D7:D11)-SUM(D13:D20)</f>
        <v>-703</v>
      </c>
      <c r="E21" s="436">
        <f>SUM(E7:E11)-SUM(E13:E20)</f>
        <v>-6857</v>
      </c>
      <c r="F21" s="191"/>
      <c r="G21" s="191"/>
      <c r="H21" s="191"/>
      <c r="I21" s="191"/>
      <c r="J21" s="191"/>
    </row>
    <row r="22" spans="1:10" ht="22.5">
      <c r="A22" s="273" t="s">
        <v>864</v>
      </c>
      <c r="B22" s="531">
        <v>210</v>
      </c>
      <c r="C22" s="523">
        <v>0</v>
      </c>
      <c r="D22" s="523">
        <v>0</v>
      </c>
      <c r="E22" s="521">
        <v>0</v>
      </c>
      <c r="F22" s="191"/>
      <c r="G22" s="191"/>
      <c r="H22" s="191"/>
      <c r="I22" s="191"/>
      <c r="J22" s="191"/>
    </row>
    <row r="23" spans="1:10" ht="12.75">
      <c r="A23" s="274" t="s">
        <v>865</v>
      </c>
      <c r="B23" s="533"/>
      <c r="C23" s="526"/>
      <c r="D23" s="526"/>
      <c r="E23" s="528"/>
      <c r="F23" s="191"/>
      <c r="G23" s="191"/>
      <c r="H23" s="191"/>
      <c r="I23" s="191"/>
      <c r="J23" s="191"/>
    </row>
    <row r="24" spans="1:5" ht="22.5">
      <c r="A24" s="275" t="s">
        <v>866</v>
      </c>
      <c r="B24" s="533"/>
      <c r="C24" s="526"/>
      <c r="D24" s="526"/>
      <c r="E24" s="528"/>
    </row>
    <row r="25" spans="1:5" ht="12.75">
      <c r="A25" s="276" t="s">
        <v>867</v>
      </c>
      <c r="B25" s="532"/>
      <c r="C25" s="527"/>
      <c r="D25" s="527"/>
      <c r="E25" s="522"/>
    </row>
    <row r="26" spans="1:5" ht="22.5">
      <c r="A26" s="277" t="s">
        <v>868</v>
      </c>
      <c r="B26" s="534">
        <v>220</v>
      </c>
      <c r="C26" s="523">
        <v>0</v>
      </c>
      <c r="D26" s="523">
        <v>0</v>
      </c>
      <c r="E26" s="521">
        <v>0</v>
      </c>
    </row>
    <row r="27" spans="1:5" ht="12.75">
      <c r="A27" s="276" t="s">
        <v>869</v>
      </c>
      <c r="B27" s="535"/>
      <c r="C27" s="527"/>
      <c r="D27" s="527"/>
      <c r="E27" s="522"/>
    </row>
    <row r="28" spans="1:5" ht="12.75">
      <c r="A28" s="278" t="s">
        <v>870</v>
      </c>
      <c r="B28" s="266">
        <v>230</v>
      </c>
      <c r="C28" s="435">
        <v>0</v>
      </c>
      <c r="D28" s="435">
        <v>0</v>
      </c>
      <c r="E28" s="436">
        <v>0</v>
      </c>
    </row>
    <row r="29" spans="1:5" ht="12.75">
      <c r="A29" s="278" t="s">
        <v>871</v>
      </c>
      <c r="B29" s="266">
        <v>240</v>
      </c>
      <c r="C29" s="435">
        <v>0</v>
      </c>
      <c r="D29" s="435">
        <v>0</v>
      </c>
      <c r="E29" s="436">
        <v>0</v>
      </c>
    </row>
    <row r="30" spans="1:5" ht="22.5">
      <c r="A30" s="277" t="s">
        <v>872</v>
      </c>
      <c r="B30" s="531">
        <v>250</v>
      </c>
      <c r="C30" s="523">
        <v>0</v>
      </c>
      <c r="D30" s="523">
        <v>0</v>
      </c>
      <c r="E30" s="521">
        <v>0</v>
      </c>
    </row>
    <row r="31" spans="1:5" ht="12.75">
      <c r="A31" s="276" t="s">
        <v>873</v>
      </c>
      <c r="B31" s="532"/>
      <c r="C31" s="527"/>
      <c r="D31" s="527"/>
      <c r="E31" s="522"/>
    </row>
    <row r="32" spans="1:5" ht="22.5">
      <c r="A32" s="278" t="s">
        <v>19</v>
      </c>
      <c r="B32" s="266">
        <v>280</v>
      </c>
      <c r="C32" s="435">
        <v>0</v>
      </c>
      <c r="D32" s="435">
        <v>0</v>
      </c>
      <c r="E32" s="436">
        <v>0</v>
      </c>
    </row>
    <row r="33" spans="1:5" ht="22.5">
      <c r="A33" s="271" t="s">
        <v>874</v>
      </c>
      <c r="B33" s="531">
        <v>290</v>
      </c>
      <c r="C33" s="523">
        <v>2000</v>
      </c>
      <c r="D33" s="523">
        <v>10354</v>
      </c>
      <c r="E33" s="521">
        <v>7185</v>
      </c>
    </row>
    <row r="34" spans="1:5" ht="22.5">
      <c r="A34" s="279" t="s">
        <v>875</v>
      </c>
      <c r="B34" s="533"/>
      <c r="C34" s="526"/>
      <c r="D34" s="526"/>
      <c r="E34" s="528"/>
    </row>
    <row r="35" spans="1:5" ht="12.75">
      <c r="A35" s="272" t="s">
        <v>876</v>
      </c>
      <c r="B35" s="532"/>
      <c r="C35" s="527"/>
      <c r="D35" s="527"/>
      <c r="E35" s="522"/>
    </row>
    <row r="36" spans="1:5" ht="22.5">
      <c r="A36" s="270" t="s">
        <v>877</v>
      </c>
      <c r="B36" s="266">
        <v>300</v>
      </c>
      <c r="C36" s="433">
        <v>0</v>
      </c>
      <c r="D36" s="433">
        <v>0</v>
      </c>
      <c r="E36" s="434">
        <v>0</v>
      </c>
    </row>
    <row r="37" spans="1:5" ht="12.75">
      <c r="A37" s="270" t="s">
        <v>878</v>
      </c>
      <c r="B37" s="266">
        <v>310</v>
      </c>
      <c r="C37" s="435">
        <v>0</v>
      </c>
      <c r="D37" s="435">
        <v>0</v>
      </c>
      <c r="E37" s="436">
        <v>0</v>
      </c>
    </row>
    <row r="38" spans="1:5" ht="12.75">
      <c r="A38" s="271" t="s">
        <v>879</v>
      </c>
      <c r="B38" s="529">
        <v>340</v>
      </c>
      <c r="C38" s="523">
        <f>C22+C26+C28+C29+C30-(C32+C33+C36+C37)</f>
        <v>-2000</v>
      </c>
      <c r="D38" s="523">
        <f>D22+D26+D28+D29+D30-(D32+D33+D36+D37)</f>
        <v>-10354</v>
      </c>
      <c r="E38" s="521">
        <f>E22+E26+E28+E29+E30-(E32+E33+E36+E37)</f>
        <v>-7185</v>
      </c>
    </row>
    <row r="39" spans="1:5" ht="12.75">
      <c r="A39" s="279" t="s">
        <v>865</v>
      </c>
      <c r="B39" s="531"/>
      <c r="C39" s="527"/>
      <c r="D39" s="527"/>
      <c r="E39" s="522"/>
    </row>
    <row r="40" spans="1:5" ht="12.75">
      <c r="A40" s="273" t="s">
        <v>880</v>
      </c>
      <c r="B40" s="529">
        <v>350</v>
      </c>
      <c r="C40" s="523">
        <v>0</v>
      </c>
      <c r="D40" s="523">
        <v>0</v>
      </c>
      <c r="E40" s="521">
        <v>0</v>
      </c>
    </row>
    <row r="41" spans="1:5" ht="12.75">
      <c r="A41" s="274" t="s">
        <v>865</v>
      </c>
      <c r="B41" s="529"/>
      <c r="C41" s="526"/>
      <c r="D41" s="526"/>
      <c r="E41" s="528"/>
    </row>
    <row r="42" spans="1:5" ht="22.5">
      <c r="A42" s="466" t="s">
        <v>881</v>
      </c>
      <c r="B42" s="529"/>
      <c r="C42" s="527"/>
      <c r="D42" s="527"/>
      <c r="E42" s="522"/>
    </row>
    <row r="43" spans="1:5" ht="12.75">
      <c r="A43" s="536" t="s">
        <v>596</v>
      </c>
      <c r="B43" s="529">
        <v>360</v>
      </c>
      <c r="C43" s="523">
        <v>18000</v>
      </c>
      <c r="D43" s="523">
        <v>20000</v>
      </c>
      <c r="E43" s="521">
        <v>6327</v>
      </c>
    </row>
    <row r="44" spans="1:5" ht="12.75">
      <c r="A44" s="537"/>
      <c r="B44" s="529"/>
      <c r="C44" s="527"/>
      <c r="D44" s="527"/>
      <c r="E44" s="522"/>
    </row>
    <row r="45" spans="1:5" ht="22.5">
      <c r="A45" s="467" t="s">
        <v>20</v>
      </c>
      <c r="B45" s="266">
        <v>390</v>
      </c>
      <c r="C45" s="435">
        <v>12000</v>
      </c>
      <c r="D45" s="435">
        <v>898</v>
      </c>
      <c r="E45" s="436">
        <v>0</v>
      </c>
    </row>
    <row r="46" spans="1:5" ht="22.5">
      <c r="A46" s="467" t="s">
        <v>21</v>
      </c>
      <c r="B46" s="266">
        <v>400</v>
      </c>
      <c r="C46" s="435">
        <v>0</v>
      </c>
      <c r="D46" s="435">
        <v>0</v>
      </c>
      <c r="E46" s="436">
        <v>0</v>
      </c>
    </row>
    <row r="47" spans="1:5" ht="12.75">
      <c r="A47" s="467" t="s">
        <v>882</v>
      </c>
      <c r="B47" s="266">
        <v>405</v>
      </c>
      <c r="C47" s="435">
        <v>0</v>
      </c>
      <c r="D47" s="435">
        <v>0</v>
      </c>
      <c r="E47" s="436">
        <v>0</v>
      </c>
    </row>
    <row r="48" spans="1:5" ht="22.5">
      <c r="A48" s="467" t="s">
        <v>883</v>
      </c>
      <c r="B48" s="266">
        <v>410</v>
      </c>
      <c r="C48" s="435">
        <f>C40+C43-(C45+C46+C47)</f>
        <v>6000</v>
      </c>
      <c r="D48" s="435">
        <f>D40+D43-(D45+D46+D47)</f>
        <v>19102</v>
      </c>
      <c r="E48" s="436">
        <f>E40+E43-(E45+E46+E47)</f>
        <v>6327</v>
      </c>
    </row>
    <row r="49" spans="1:5" ht="12.75">
      <c r="A49" s="536" t="s">
        <v>597</v>
      </c>
      <c r="B49" s="529">
        <v>420</v>
      </c>
      <c r="C49" s="521">
        <f>C21+C38+C48</f>
        <v>-364</v>
      </c>
      <c r="D49" s="521">
        <f>D21+D38+D48</f>
        <v>8045</v>
      </c>
      <c r="E49" s="521">
        <f>E21+E38+E48</f>
        <v>-7715</v>
      </c>
    </row>
    <row r="50" spans="1:5" ht="12.75">
      <c r="A50" s="537"/>
      <c r="B50" s="529"/>
      <c r="C50" s="522"/>
      <c r="D50" s="522"/>
      <c r="E50" s="522"/>
    </row>
    <row r="51" spans="1:5" ht="22.5">
      <c r="A51" s="468" t="s">
        <v>884</v>
      </c>
      <c r="B51" s="266">
        <v>430</v>
      </c>
      <c r="C51" s="437">
        <f>C6+C49</f>
        <v>200</v>
      </c>
      <c r="D51" s="437">
        <f>D6+D49</f>
        <v>8245</v>
      </c>
      <c r="E51" s="437">
        <f>E6+E49</f>
        <v>530</v>
      </c>
    </row>
    <row r="52" spans="1:5" ht="12.75">
      <c r="A52" s="536" t="s">
        <v>885</v>
      </c>
      <c r="B52" s="529">
        <v>440</v>
      </c>
      <c r="C52" s="523">
        <v>0</v>
      </c>
      <c r="D52" s="523">
        <v>0</v>
      </c>
      <c r="E52" s="521">
        <v>0</v>
      </c>
    </row>
    <row r="53" spans="1:5" ht="11.25" customHeight="1" thickBot="1">
      <c r="A53" s="537"/>
      <c r="B53" s="530"/>
      <c r="C53" s="524"/>
      <c r="D53" s="524"/>
      <c r="E53" s="525"/>
    </row>
    <row r="55" spans="1:5" ht="15">
      <c r="A55" s="200"/>
      <c r="B55" s="200"/>
      <c r="C55" s="200"/>
      <c r="D55" s="200"/>
      <c r="E55" s="200"/>
    </row>
    <row r="56" spans="1:5" ht="12.75">
      <c r="A56" s="201"/>
      <c r="B56" s="201"/>
      <c r="C56" s="201"/>
      <c r="D56" s="201"/>
      <c r="E56" s="201"/>
    </row>
    <row r="57" spans="1:5" ht="12.75">
      <c r="A57" s="197"/>
      <c r="B57" s="202"/>
      <c r="C57" s="202"/>
      <c r="D57" s="202"/>
      <c r="E57" s="202"/>
    </row>
    <row r="58" spans="1:5" ht="12.75">
      <c r="A58" s="197"/>
      <c r="B58" s="202"/>
      <c r="C58" s="202"/>
      <c r="D58" s="202"/>
      <c r="E58" s="202"/>
    </row>
  </sheetData>
  <sheetProtection/>
  <mergeCells count="52">
    <mergeCell ref="A52:A53"/>
    <mergeCell ref="A49:A50"/>
    <mergeCell ref="A43:A44"/>
    <mergeCell ref="A3:E3"/>
    <mergeCell ref="A4:B4"/>
    <mergeCell ref="C4:C5"/>
    <mergeCell ref="D4:D5"/>
    <mergeCell ref="E4:E5"/>
    <mergeCell ref="B7:B8"/>
    <mergeCell ref="B13:B14"/>
    <mergeCell ref="B52:B53"/>
    <mergeCell ref="B30:B31"/>
    <mergeCell ref="B33:B35"/>
    <mergeCell ref="B38:B39"/>
    <mergeCell ref="B40:B42"/>
    <mergeCell ref="B22:B25"/>
    <mergeCell ref="B26:B27"/>
    <mergeCell ref="B43:B44"/>
    <mergeCell ref="B49:B50"/>
    <mergeCell ref="C7:C8"/>
    <mergeCell ref="D7:D8"/>
    <mergeCell ref="E7:E8"/>
    <mergeCell ref="E22:E25"/>
    <mergeCell ref="D22:D25"/>
    <mergeCell ref="C22:C25"/>
    <mergeCell ref="C13:C14"/>
    <mergeCell ref="D13:D14"/>
    <mergeCell ref="E13:E14"/>
    <mergeCell ref="C26:C27"/>
    <mergeCell ref="D26:D27"/>
    <mergeCell ref="E26:E27"/>
    <mergeCell ref="C30:C31"/>
    <mergeCell ref="D30:D31"/>
    <mergeCell ref="E30:E31"/>
    <mergeCell ref="C33:C35"/>
    <mergeCell ref="D33:D35"/>
    <mergeCell ref="E33:E35"/>
    <mergeCell ref="C38:C39"/>
    <mergeCell ref="D38:D39"/>
    <mergeCell ref="E38:E39"/>
    <mergeCell ref="C40:C42"/>
    <mergeCell ref="D40:D42"/>
    <mergeCell ref="E40:E42"/>
    <mergeCell ref="C43:C44"/>
    <mergeCell ref="D43:D44"/>
    <mergeCell ref="E43:E44"/>
    <mergeCell ref="C49:C50"/>
    <mergeCell ref="D49:D50"/>
    <mergeCell ref="E49:E50"/>
    <mergeCell ref="C52:C53"/>
    <mergeCell ref="D52:D53"/>
    <mergeCell ref="E52:E53"/>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F54"/>
  <sheetViews>
    <sheetView zoomScalePageLayoutView="0" workbookViewId="0" topLeftCell="A19">
      <selection activeCell="A1" sqref="A1"/>
    </sheetView>
  </sheetViews>
  <sheetFormatPr defaultColWidth="9.00390625" defaultRowHeight="12.75"/>
  <cols>
    <col min="1" max="1" width="52.00390625" style="0" customWidth="1"/>
    <col min="6" max="6" width="13.25390625" style="0" customWidth="1"/>
  </cols>
  <sheetData>
    <row r="1" spans="1:4" ht="19.5" customHeight="1">
      <c r="A1" s="336" t="s">
        <v>948</v>
      </c>
      <c r="B1" s="337"/>
      <c r="C1" s="337"/>
      <c r="D1" s="337"/>
    </row>
    <row r="2" spans="1:4" ht="24.75" customHeight="1">
      <c r="A2" s="469" t="s">
        <v>602</v>
      </c>
      <c r="B2" s="469">
        <v>2002</v>
      </c>
      <c r="C2" s="469">
        <v>2003</v>
      </c>
      <c r="D2" s="469">
        <v>2004</v>
      </c>
    </row>
    <row r="3" spans="1:6" ht="13.5" customHeight="1">
      <c r="A3" s="13" t="s">
        <v>603</v>
      </c>
      <c r="B3" s="358">
        <f>Данные!D77+Данные!D78+Данные!D79+Данные!D80-(Данные!C77+Данные!C78+Данные!C79+Данные!C80)</f>
        <v>14574</v>
      </c>
      <c r="C3" s="358">
        <f>Данные!E77+Данные!E78+Данные!E79+Данные!E80-(Данные!D77+Данные!D78+Данные!D79+Данные!D80)</f>
        <v>-8278</v>
      </c>
      <c r="D3" s="358">
        <f>Данные!F77+Данные!F78+Данные!F79+Данные!F80-(Данные!E77+Данные!E78+Данные!E79+Данные!E80)</f>
        <v>33561</v>
      </c>
      <c r="F3" s="338"/>
    </row>
    <row r="4" spans="1:6" ht="12.75">
      <c r="A4" s="13" t="s">
        <v>604</v>
      </c>
      <c r="B4" s="358">
        <f>-(Данные!D13-Данные!C13)</f>
        <v>-3953</v>
      </c>
      <c r="C4" s="358">
        <f>-(Данные!E13-Данные!D13)</f>
        <v>26496</v>
      </c>
      <c r="D4" s="358">
        <f>-(Данные!F13-Данные!E13)</f>
        <v>-1278</v>
      </c>
      <c r="F4" s="338"/>
    </row>
    <row r="5" spans="1:6" ht="22.5">
      <c r="A5" s="9" t="s">
        <v>899</v>
      </c>
      <c r="B5" s="53">
        <f>-(Данные!D6-Данные!C6)</f>
        <v>0</v>
      </c>
      <c r="C5" s="53">
        <f>-(Данные!E6-Данные!D6)</f>
        <v>0</v>
      </c>
      <c r="D5" s="53">
        <f>-(Данные!F6-Данные!E6)</f>
        <v>0</v>
      </c>
      <c r="F5" s="338"/>
    </row>
    <row r="6" spans="1:6" ht="22.5">
      <c r="A6" s="9" t="s">
        <v>900</v>
      </c>
      <c r="B6" s="53">
        <f>-(Данные!D7-Данные!C7)</f>
        <v>-4117</v>
      </c>
      <c r="C6" s="53">
        <f>-(Данные!E7-Данные!D7)</f>
        <v>32285</v>
      </c>
      <c r="D6" s="53">
        <f>-(Данные!F7-Данные!E7)</f>
        <v>-7963</v>
      </c>
      <c r="F6" s="338"/>
    </row>
    <row r="7" spans="1:6" ht="12.75">
      <c r="A7" s="9" t="s">
        <v>535</v>
      </c>
      <c r="B7" s="53">
        <f>Данные!C60</f>
        <v>2355</v>
      </c>
      <c r="C7" s="53">
        <f>Данные!D60</f>
        <v>3256</v>
      </c>
      <c r="D7" s="53">
        <f>Данные!E60</f>
        <v>7856</v>
      </c>
      <c r="F7" s="338"/>
    </row>
    <row r="8" spans="1:6" ht="12.75">
      <c r="A8" s="9" t="s">
        <v>901</v>
      </c>
      <c r="B8" s="53">
        <f>-(Данные!D8-Данные!C8)</f>
        <v>164</v>
      </c>
      <c r="C8" s="53">
        <f>-(Данные!E8-Данные!D8)</f>
        <v>-5789</v>
      </c>
      <c r="D8" s="53">
        <f>-(Данные!F8-Данные!E8)</f>
        <v>6685</v>
      </c>
      <c r="F8" s="339"/>
    </row>
    <row r="9" spans="1:6" ht="12.75">
      <c r="A9" s="9" t="s">
        <v>902</v>
      </c>
      <c r="B9" s="53">
        <f>-(SUM(Данные!D9:D12)-SUM(Данные!C9:C12))</f>
        <v>0</v>
      </c>
      <c r="C9" s="53">
        <f>-(SUM(Данные!E9:E12)-SUM(Данные!D9:D12))</f>
        <v>0</v>
      </c>
      <c r="D9" s="53">
        <f>-(SUM(Данные!F9:F12)-SUM(Данные!E9:E12))</f>
        <v>0</v>
      </c>
      <c r="F9" s="339"/>
    </row>
    <row r="10" spans="1:6" ht="12.75">
      <c r="A10" s="13" t="s">
        <v>605</v>
      </c>
      <c r="B10" s="358">
        <f>SUM(B11:B15)</f>
        <v>-18894</v>
      </c>
      <c r="C10" s="358">
        <f>SUM(C11:C15)</f>
        <v>-12789</v>
      </c>
      <c r="D10" s="358">
        <f>SUM(D11:D15)</f>
        <v>-20616</v>
      </c>
      <c r="F10" s="338"/>
    </row>
    <row r="11" spans="1:6" ht="12.75">
      <c r="A11" s="9" t="s">
        <v>903</v>
      </c>
      <c r="B11" s="53">
        <f>-(Данные!D15-Данные!C15)</f>
        <v>-12052</v>
      </c>
      <c r="C11" s="53">
        <f>-(Данные!E15-Данные!D15)</f>
        <v>-15788</v>
      </c>
      <c r="D11" s="53">
        <f>-(Данные!F15-Данные!E15)</f>
        <v>-18185</v>
      </c>
      <c r="F11" s="338"/>
    </row>
    <row r="12" spans="1:6" ht="12.75" customHeight="1">
      <c r="A12" s="9" t="s">
        <v>904</v>
      </c>
      <c r="B12" s="53">
        <f>-(Данные!D23-Данные!C23)</f>
        <v>-296</v>
      </c>
      <c r="C12" s="53">
        <f>-(Данные!E23-Данные!D23)</f>
        <v>409</v>
      </c>
      <c r="D12" s="53">
        <f>-(Данные!F23-Данные!E23)</f>
        <v>2024</v>
      </c>
      <c r="F12" s="338"/>
    </row>
    <row r="13" spans="1:6" ht="12.75">
      <c r="A13" s="9" t="s">
        <v>906</v>
      </c>
      <c r="B13" s="53">
        <f>-((Данные!D24+Данные!D30)-(Данные!C24+Данные!C30))</f>
        <v>-6546</v>
      </c>
      <c r="C13" s="53">
        <f>-((Данные!E24+Данные!E30)-(Данные!D24+Данные!D30))</f>
        <v>2590</v>
      </c>
      <c r="D13" s="53">
        <f>-((Данные!F24+Данные!F30)-(Данные!E24+Данные!E30))</f>
        <v>-4455</v>
      </c>
      <c r="F13" s="338"/>
    </row>
    <row r="14" spans="1:6" ht="22.5">
      <c r="A14" s="9" t="s">
        <v>907</v>
      </c>
      <c r="B14" s="53">
        <f>-(Данные!D37-Данные!C37)</f>
        <v>0</v>
      </c>
      <c r="C14" s="53">
        <f>-(Данные!E37-Данные!D37)</f>
        <v>0</v>
      </c>
      <c r="D14" s="53">
        <f>-(Данные!F37-Данные!E37)</f>
        <v>0</v>
      </c>
      <c r="F14" s="338"/>
    </row>
    <row r="15" spans="1:6" ht="12.75">
      <c r="A15" s="9" t="s">
        <v>902</v>
      </c>
      <c r="B15" s="53">
        <f>-(Данные!D46-Данные!C46)</f>
        <v>0</v>
      </c>
      <c r="C15" s="53">
        <f>-(Данные!E46-Данные!D46)</f>
        <v>0</v>
      </c>
      <c r="D15" s="53">
        <f>-(Данные!F46-Данные!E46)</f>
        <v>0</v>
      </c>
      <c r="F15" s="338"/>
    </row>
    <row r="16" spans="1:6" ht="22.5">
      <c r="A16" s="13" t="s">
        <v>606</v>
      </c>
      <c r="B16" s="358">
        <f>(Данные!D81-Данные!C81)-B3</f>
        <v>-292</v>
      </c>
      <c r="C16" s="358">
        <f>(Данные!E81-Данные!D81)-C3</f>
        <v>-12966</v>
      </c>
      <c r="D16" s="358">
        <f>(Данные!F81-Данные!E81)-D3</f>
        <v>-184</v>
      </c>
      <c r="F16" s="340"/>
    </row>
    <row r="17" spans="1:6" ht="12.75">
      <c r="A17" s="9" t="s">
        <v>908</v>
      </c>
      <c r="B17" s="53">
        <f>Данные!D69-Данные!C69</f>
        <v>0</v>
      </c>
      <c r="C17" s="53">
        <f>Данные!E69-Данные!D69</f>
        <v>21789</v>
      </c>
      <c r="D17" s="53">
        <f>Данные!F69-Данные!E69</f>
        <v>0</v>
      </c>
      <c r="F17" s="341"/>
    </row>
    <row r="18" spans="1:6" ht="12.75">
      <c r="A18" s="9" t="s">
        <v>909</v>
      </c>
      <c r="B18" s="53">
        <f>Данные!D72-Данные!C72</f>
        <v>-296</v>
      </c>
      <c r="C18" s="53">
        <f>Данные!E72-Данные!D72</f>
        <v>0</v>
      </c>
      <c r="D18" s="53">
        <f>Данные!F72-Данные!E72</f>
        <v>0</v>
      </c>
      <c r="F18" s="338"/>
    </row>
    <row r="19" spans="1:6" ht="12.75">
      <c r="A19" s="9" t="s">
        <v>910</v>
      </c>
      <c r="B19" s="53">
        <f>Данные!D71-Данные!C71</f>
        <v>2647</v>
      </c>
      <c r="C19" s="53">
        <f>Данные!E71-Данные!D71</f>
        <v>-34755</v>
      </c>
      <c r="D19" s="53">
        <f>Данные!F71-Данные!E71</f>
        <v>-184</v>
      </c>
      <c r="F19" s="339"/>
    </row>
    <row r="20" spans="1:6" ht="12.75">
      <c r="A20" s="9" t="s">
        <v>911</v>
      </c>
      <c r="B20" s="53">
        <f>(Данные!D75+Данные!D76+Данные!D77+Данные!D78+Данные!D80)-(Данные!C75+Данные!C76+Данные!C78+Данные!C77+Данные!C80)</f>
        <v>6382</v>
      </c>
      <c r="C20" s="53">
        <f>(Данные!E75+Данные!E76+Данные!E79+Данные!E78+Данные!E80)-(Данные!D75+Данные!D76+Данные!D78+Данные!D77+Данные!D80)</f>
        <v>7452</v>
      </c>
      <c r="D20" s="53">
        <f>(Данные!F75+Данные!F76+Данные!F79+Данные!F78+Данные!F80)-(Данные!E75+Данные!E76+Данные!E78+Данные!E79+Данные!E80)</f>
        <v>33561</v>
      </c>
      <c r="F20" s="339"/>
    </row>
    <row r="21" spans="1:6" ht="12.75" customHeight="1">
      <c r="A21" s="13" t="s">
        <v>607</v>
      </c>
      <c r="B21" s="358">
        <f>Данные!D88-Данные!C88</f>
        <v>1258</v>
      </c>
      <c r="C21" s="358">
        <f>Данные!E88-Данные!D88</f>
        <v>6268</v>
      </c>
      <c r="D21" s="358">
        <f>Данные!F88-Данные!E88</f>
        <v>-10321</v>
      </c>
      <c r="F21" s="338"/>
    </row>
    <row r="22" spans="1:6" ht="12.75">
      <c r="A22" s="9" t="s">
        <v>912</v>
      </c>
      <c r="B22" s="53">
        <f>Данные!D83-Данные!C83</f>
        <v>0</v>
      </c>
      <c r="C22" s="53">
        <f>Данные!E83-Данные!D83</f>
        <v>0</v>
      </c>
      <c r="D22" s="53">
        <f>Данные!F83-Данные!E83</f>
        <v>0</v>
      </c>
      <c r="F22" s="338"/>
    </row>
    <row r="23" spans="1:6" ht="12.75">
      <c r="A23" s="9" t="s">
        <v>913</v>
      </c>
      <c r="B23" s="53">
        <f>(Данные!D86+Данные!D87)-(Данные!C86+Данные!C87)</f>
        <v>1258</v>
      </c>
      <c r="C23" s="53">
        <f>(Данные!E86+Данные!E87)-(Данные!D86+Данные!D87)</f>
        <v>6268</v>
      </c>
      <c r="D23" s="53">
        <f>(Данные!F86+Данные!F87)-(Данные!E86+Данные!E87)</f>
        <v>-10321</v>
      </c>
      <c r="F23" s="340"/>
    </row>
    <row r="24" spans="1:6" ht="17.25" customHeight="1">
      <c r="A24" s="13" t="s">
        <v>608</v>
      </c>
      <c r="B24" s="358">
        <f>Данные!D106-Данные!C106</f>
        <v>6943</v>
      </c>
      <c r="C24" s="358">
        <f>Данные!E106-Данные!D106</f>
        <v>9314</v>
      </c>
      <c r="D24" s="358">
        <f>Данные!F106-Данные!E106</f>
        <v>-8877</v>
      </c>
      <c r="F24" s="341"/>
    </row>
    <row r="25" spans="1:6" ht="12.75">
      <c r="A25" s="9" t="s">
        <v>912</v>
      </c>
      <c r="B25" s="53">
        <f>Данные!D90-Данные!C90</f>
        <v>5112</v>
      </c>
      <c r="C25" s="53">
        <f>Данные!E90-Данные!D90</f>
        <v>19102</v>
      </c>
      <c r="D25" s="53">
        <f>Данные!F90-Данные!E90</f>
        <v>-8673</v>
      </c>
      <c r="F25" s="338"/>
    </row>
    <row r="26" spans="1:6" ht="12.75">
      <c r="A26" s="9" t="s">
        <v>914</v>
      </c>
      <c r="B26" s="53">
        <f>Данные!D93-Данные!C93</f>
        <v>1831</v>
      </c>
      <c r="C26" s="53">
        <f>Данные!E93-Данные!D93</f>
        <v>-9788</v>
      </c>
      <c r="D26" s="53">
        <f>Данные!F93-Данные!E93</f>
        <v>-204</v>
      </c>
      <c r="F26" s="339"/>
    </row>
    <row r="27" spans="1:6" ht="12" customHeight="1">
      <c r="A27" s="9" t="s">
        <v>915</v>
      </c>
      <c r="B27" s="53">
        <f>Данные!D94-Данные!C94</f>
        <v>225</v>
      </c>
      <c r="C27" s="53">
        <f>Данные!E94-Данные!D94</f>
        <v>-135</v>
      </c>
      <c r="D27" s="53">
        <f>Данные!F94-Данные!E94</f>
        <v>-464</v>
      </c>
      <c r="F27" s="339"/>
    </row>
    <row r="28" spans="1:6" ht="12.75">
      <c r="A28" s="9" t="s">
        <v>916</v>
      </c>
      <c r="B28" s="53">
        <f>Данные!D95-Данные!C95</f>
        <v>0</v>
      </c>
      <c r="C28" s="53">
        <f>Данные!E95-Данные!D95</f>
        <v>0</v>
      </c>
      <c r="D28" s="53">
        <f>Данные!F95-Данные!E95</f>
        <v>0</v>
      </c>
      <c r="F28" s="338"/>
    </row>
    <row r="29" spans="1:6" ht="12.75">
      <c r="A29" s="9" t="s">
        <v>917</v>
      </c>
      <c r="B29" s="53">
        <f>Данные!D96-Данные!C96</f>
        <v>0</v>
      </c>
      <c r="C29" s="53">
        <f>Данные!E96-Данные!D96</f>
        <v>0</v>
      </c>
      <c r="D29" s="53">
        <f>Данные!F96-Данные!E96</f>
        <v>0</v>
      </c>
      <c r="F29" s="339"/>
    </row>
    <row r="30" spans="1:6" ht="12.75">
      <c r="A30" s="9" t="s">
        <v>918</v>
      </c>
      <c r="B30" s="53">
        <f>Данные!D97-Данные!C97</f>
        <v>75</v>
      </c>
      <c r="C30" s="53">
        <f>Данные!E97-Данные!D97</f>
        <v>-220</v>
      </c>
      <c r="D30" s="53">
        <f>Данные!F97-Данные!E97</f>
        <v>8</v>
      </c>
      <c r="F30" s="339"/>
    </row>
    <row r="31" spans="1:6" ht="12" customHeight="1">
      <c r="A31" s="9" t="s">
        <v>919</v>
      </c>
      <c r="B31" s="53">
        <f>Данные!D98-Данные!C98</f>
        <v>-552</v>
      </c>
      <c r="C31" s="53">
        <f>Данные!E98-Данные!D98</f>
        <v>-7875</v>
      </c>
      <c r="D31" s="53">
        <f>Данные!F98-Данные!E98</f>
        <v>-220</v>
      </c>
      <c r="F31" s="339"/>
    </row>
    <row r="32" spans="1:6" ht="11.25" customHeight="1">
      <c r="A32" s="9" t="s">
        <v>920</v>
      </c>
      <c r="B32" s="53">
        <f>Данные!D99-Данные!C99</f>
        <v>20</v>
      </c>
      <c r="C32" s="53">
        <f>Данные!E99-Данные!D99</f>
        <v>-126</v>
      </c>
      <c r="D32" s="53">
        <f>Данные!F99-Данные!E99</f>
        <v>0</v>
      </c>
      <c r="F32" s="339"/>
    </row>
    <row r="33" spans="1:6" ht="12.75">
      <c r="A33" s="9" t="s">
        <v>921</v>
      </c>
      <c r="B33" s="53">
        <f>Данные!D100-Данные!C100</f>
        <v>0</v>
      </c>
      <c r="C33" s="53">
        <f>Данные!E100-Данные!D100</f>
        <v>0</v>
      </c>
      <c r="D33" s="53">
        <f>Данные!F100-Данные!E100</f>
        <v>0</v>
      </c>
      <c r="F33" s="339"/>
    </row>
    <row r="34" spans="1:6" ht="12.75">
      <c r="A34" s="9" t="s">
        <v>262</v>
      </c>
      <c r="B34" s="53">
        <f>Данные!D101-Данные!C101</f>
        <v>2063</v>
      </c>
      <c r="C34" s="53">
        <f>Данные!E101-Данные!D101</f>
        <v>-1683</v>
      </c>
      <c r="D34" s="53">
        <f>Данные!F101-Данные!E101</f>
        <v>510</v>
      </c>
      <c r="F34" s="339"/>
    </row>
    <row r="35" spans="1:6" ht="12.75" customHeight="1">
      <c r="A35" s="470" t="s">
        <v>922</v>
      </c>
      <c r="B35" s="430">
        <f>B3+B4+B10+B16+B21+B24</f>
        <v>-364</v>
      </c>
      <c r="C35" s="430">
        <f>C3+C4+C10+C16+C21+C24</f>
        <v>8045</v>
      </c>
      <c r="D35" s="430">
        <f>D3+D4+D10+D16+D21+D24</f>
        <v>-7715</v>
      </c>
      <c r="F35" s="339"/>
    </row>
    <row r="36" ht="12.75">
      <c r="F36" s="339"/>
    </row>
    <row r="37" ht="12.75">
      <c r="F37" s="338"/>
    </row>
    <row r="38" ht="12.75">
      <c r="F38" s="338"/>
    </row>
    <row r="39" ht="12.75">
      <c r="F39" s="338"/>
    </row>
    <row r="40" ht="12.75">
      <c r="F40" s="338"/>
    </row>
    <row r="41" ht="12.75">
      <c r="F41" s="340"/>
    </row>
    <row r="42" ht="12.75">
      <c r="F42" s="340"/>
    </row>
    <row r="43" ht="12.75">
      <c r="F43" s="342"/>
    </row>
    <row r="44" ht="12.75">
      <c r="F44" s="342"/>
    </row>
    <row r="45" ht="12.75">
      <c r="F45" s="342"/>
    </row>
    <row r="46" ht="12.75">
      <c r="F46" s="342"/>
    </row>
    <row r="47" ht="12.75">
      <c r="F47" s="342"/>
    </row>
    <row r="48" ht="12.75">
      <c r="F48" s="342"/>
    </row>
    <row r="49" ht="12.75">
      <c r="F49" s="342"/>
    </row>
    <row r="50" ht="12.75">
      <c r="F50" s="342"/>
    </row>
    <row r="51" ht="12.75">
      <c r="F51" s="342"/>
    </row>
    <row r="52" ht="12.75">
      <c r="F52" s="342"/>
    </row>
    <row r="53" ht="12.75">
      <c r="F53" s="342"/>
    </row>
    <row r="54" ht="12.75">
      <c r="F54" s="342"/>
    </row>
  </sheetData>
  <sheetProtection/>
  <printOptions/>
  <pageMargins left="0.75" right="0.75" top="1" bottom="1" header="0.5" footer="0.5"/>
  <pageSetup horizontalDpi="600" verticalDpi="600" orientation="portrait" paperSize="9" r:id="rId1"/>
  <ignoredErrors>
    <ignoredError sqref="B9:D9" formulaRange="1"/>
  </ignoredErrors>
</worksheet>
</file>

<file path=xl/worksheets/sheet21.xml><?xml version="1.0" encoding="utf-8"?>
<worksheet xmlns="http://schemas.openxmlformats.org/spreadsheetml/2006/main" xmlns:r="http://schemas.openxmlformats.org/officeDocument/2006/relationships">
  <dimension ref="B2:E18"/>
  <sheetViews>
    <sheetView zoomScalePageLayoutView="0" workbookViewId="0" topLeftCell="A1">
      <selection activeCell="B2" sqref="B2"/>
    </sheetView>
  </sheetViews>
  <sheetFormatPr defaultColWidth="9.00390625" defaultRowHeight="12.75"/>
  <cols>
    <col min="1" max="1" width="4.125" style="0" customWidth="1"/>
    <col min="2" max="2" width="37.00390625" style="0" customWidth="1"/>
    <col min="3" max="3" width="13.125" style="0" customWidth="1"/>
    <col min="4" max="4" width="14.875" style="0" customWidth="1"/>
    <col min="5" max="5" width="15.625" style="0" customWidth="1"/>
  </cols>
  <sheetData>
    <row r="2" ht="12.75">
      <c r="B2" s="3" t="s">
        <v>528</v>
      </c>
    </row>
    <row r="4" spans="2:5" ht="17.25" customHeight="1">
      <c r="B4" s="656" t="s">
        <v>318</v>
      </c>
      <c r="C4" s="656" t="s">
        <v>313</v>
      </c>
      <c r="D4" s="656"/>
      <c r="E4" s="656"/>
    </row>
    <row r="5" spans="2:5" ht="20.25" customHeight="1">
      <c r="B5" s="656"/>
      <c r="C5" s="42">
        <v>2002</v>
      </c>
      <c r="D5" s="42">
        <v>2003</v>
      </c>
      <c r="E5" s="42">
        <v>2004</v>
      </c>
    </row>
    <row r="6" spans="2:5" ht="12.75">
      <c r="B6" s="13" t="s">
        <v>529</v>
      </c>
      <c r="C6" s="304">
        <f>Активность!C6</f>
        <v>65747</v>
      </c>
      <c r="D6" s="304">
        <f>Активность!D6</f>
        <v>65909</v>
      </c>
      <c r="E6" s="304">
        <f>Активность!E6</f>
        <v>122618</v>
      </c>
    </row>
    <row r="7" spans="2:5" ht="12.75">
      <c r="B7" s="13" t="s">
        <v>530</v>
      </c>
      <c r="C7" s="304">
        <f>Данные!C120</f>
        <v>10073</v>
      </c>
      <c r="D7" s="304">
        <f>Данные!D120</f>
        <v>9572</v>
      </c>
      <c r="E7" s="304">
        <f>Данные!E120</f>
        <v>28310</v>
      </c>
    </row>
    <row r="8" spans="2:5" ht="12.75">
      <c r="B8" s="13" t="s">
        <v>531</v>
      </c>
      <c r="C8" s="304">
        <f>Данные!C135</f>
        <v>15730</v>
      </c>
      <c r="D8" s="304">
        <f>Данные!D135</f>
        <v>15926</v>
      </c>
      <c r="E8" s="304">
        <f>Данные!E135</f>
        <v>37934</v>
      </c>
    </row>
    <row r="9" spans="2:5" ht="12.75">
      <c r="B9" s="13" t="s">
        <v>532</v>
      </c>
      <c r="C9" s="304">
        <f>Активность!C7</f>
        <v>135293.5</v>
      </c>
      <c r="D9" s="304">
        <f>Активность!D7</f>
        <v>143704</v>
      </c>
      <c r="E9" s="304">
        <f>Активность!E7</f>
        <v>147962.5</v>
      </c>
    </row>
    <row r="10" spans="2:5" ht="22.5">
      <c r="B10" s="13" t="s">
        <v>831</v>
      </c>
      <c r="C10" s="304">
        <f>Активность!C8</f>
        <v>96283</v>
      </c>
      <c r="D10" s="304">
        <f>Активность!D8</f>
        <v>100010</v>
      </c>
      <c r="E10" s="304">
        <f>Активность!E8</f>
        <v>108436</v>
      </c>
    </row>
    <row r="11" spans="2:5" ht="13.5" customHeight="1">
      <c r="B11" s="13" t="s">
        <v>533</v>
      </c>
      <c r="C11" s="304">
        <f>Активность!C9</f>
        <v>58998</v>
      </c>
      <c r="D11" s="304">
        <f>Активность!D9</f>
        <v>78680</v>
      </c>
      <c r="E11" s="304">
        <f>Активность!E9</f>
        <v>95547.5</v>
      </c>
    </row>
    <row r="12" spans="2:5" ht="22.5">
      <c r="B12" s="13" t="s">
        <v>534</v>
      </c>
      <c r="C12" s="304">
        <f>('2003'!C69+'2003'!D69)/2</f>
        <v>103292</v>
      </c>
      <c r="D12" s="304">
        <f>('2004'!C69+'2004'!D69)/2</f>
        <v>99811</v>
      </c>
      <c r="E12" s="304">
        <f>('2005'!C69+'2005'!D69)/2</f>
        <v>105877.5</v>
      </c>
    </row>
    <row r="13" spans="2:5" ht="22.5">
      <c r="B13" s="13" t="s">
        <v>536</v>
      </c>
      <c r="C13" s="304">
        <f>C8/C9</f>
        <v>0.1162657481697199</v>
      </c>
      <c r="D13" s="304">
        <f>D8/D9</f>
        <v>0.11082502922674387</v>
      </c>
      <c r="E13" s="304">
        <f>E8/E9</f>
        <v>0.2563757708878939</v>
      </c>
    </row>
    <row r="14" spans="2:5" ht="22.5">
      <c r="B14" s="13" t="s">
        <v>537</v>
      </c>
      <c r="C14" s="304">
        <f>C8/C10</f>
        <v>0.1633725579801211</v>
      </c>
      <c r="D14" s="304">
        <f>D8/D10</f>
        <v>0.15924407559244075</v>
      </c>
      <c r="E14" s="304">
        <f>E8/E10</f>
        <v>0.34982847024973257</v>
      </c>
    </row>
    <row r="15" spans="2:5" ht="22.5">
      <c r="B15" s="13" t="s">
        <v>538</v>
      </c>
      <c r="C15" s="304">
        <f>C8/C11</f>
        <v>0.26661920743076034</v>
      </c>
      <c r="D15" s="304">
        <f>D8/D11</f>
        <v>0.20241484494153533</v>
      </c>
      <c r="E15" s="304">
        <f>E8/E11</f>
        <v>0.3970171904026793</v>
      </c>
    </row>
    <row r="16" spans="2:5" ht="22.5">
      <c r="B16" s="13" t="s">
        <v>539</v>
      </c>
      <c r="C16" s="304">
        <f>C8/C12</f>
        <v>0.15228672114006894</v>
      </c>
      <c r="D16" s="304">
        <f>D8/D12</f>
        <v>0.15956157136988908</v>
      </c>
      <c r="E16" s="304">
        <f>E8/E12</f>
        <v>0.35828197681282614</v>
      </c>
    </row>
    <row r="17" spans="2:5" ht="22.5">
      <c r="B17" s="13" t="s">
        <v>540</v>
      </c>
      <c r="C17" s="304">
        <f>C7/C6</f>
        <v>0.1532085114149695</v>
      </c>
      <c r="D17" s="304">
        <f>D7/D6</f>
        <v>0.1452305451455795</v>
      </c>
      <c r="E17" s="304">
        <f>E7/E6</f>
        <v>0.23087964246684825</v>
      </c>
    </row>
    <row r="18" spans="2:5" ht="22.5">
      <c r="B18" s="13" t="s">
        <v>541</v>
      </c>
      <c r="C18" s="304">
        <f>C8/C6</f>
        <v>0.23925046009703865</v>
      </c>
      <c r="D18" s="304">
        <f>D8/D6</f>
        <v>0.24163619536026945</v>
      </c>
      <c r="E18" s="304">
        <f>E8/E6</f>
        <v>0.30936730333230034</v>
      </c>
    </row>
  </sheetData>
  <sheetProtection/>
  <mergeCells count="2">
    <mergeCell ref="C4:E4"/>
    <mergeCell ref="B4:B5"/>
  </mergeCells>
  <printOptions/>
  <pageMargins left="0.75" right="0.75" top="1" bottom="1" header="0.5" footer="0.5"/>
  <pageSetup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dimension ref="B2:H53"/>
  <sheetViews>
    <sheetView zoomScalePageLayoutView="0" workbookViewId="0" topLeftCell="A37">
      <selection activeCell="B24" sqref="B24"/>
    </sheetView>
  </sheetViews>
  <sheetFormatPr defaultColWidth="9.00390625" defaultRowHeight="12.75"/>
  <cols>
    <col min="1" max="1" width="2.25390625" style="0" customWidth="1"/>
    <col min="2" max="2" width="21.75390625" style="0" customWidth="1"/>
    <col min="3" max="3" width="12.25390625" style="0" customWidth="1"/>
    <col min="4" max="4" width="9.75390625" style="0" customWidth="1"/>
    <col min="5" max="5" width="11.25390625" style="0" customWidth="1"/>
    <col min="6" max="6" width="10.00390625" style="0" bestFit="1" customWidth="1"/>
    <col min="7" max="7" width="11.25390625" style="0" customWidth="1"/>
    <col min="8" max="8" width="9.25390625" style="0" customWidth="1"/>
  </cols>
  <sheetData>
    <row r="2" ht="12.75">
      <c r="B2" s="3" t="s">
        <v>311</v>
      </c>
    </row>
    <row r="4" spans="2:7" ht="15" customHeight="1">
      <c r="B4" s="659" t="s">
        <v>312</v>
      </c>
      <c r="C4" s="694" t="s">
        <v>313</v>
      </c>
      <c r="D4" s="695"/>
      <c r="E4" s="696"/>
      <c r="F4" s="694" t="s">
        <v>314</v>
      </c>
      <c r="G4" s="696"/>
    </row>
    <row r="5" spans="2:7" ht="12.75" customHeight="1">
      <c r="B5" s="693"/>
      <c r="C5" s="697"/>
      <c r="D5" s="698"/>
      <c r="E5" s="699"/>
      <c r="F5" s="697" t="s">
        <v>315</v>
      </c>
      <c r="G5" s="699"/>
    </row>
    <row r="6" spans="2:7" ht="12.75">
      <c r="B6" s="660"/>
      <c r="C6" s="46">
        <v>2002</v>
      </c>
      <c r="D6" s="46">
        <v>2003</v>
      </c>
      <c r="E6" s="46">
        <v>2004</v>
      </c>
      <c r="F6" s="46">
        <v>2003</v>
      </c>
      <c r="G6" s="46">
        <v>2004</v>
      </c>
    </row>
    <row r="7" spans="2:7" ht="12.75" customHeight="1">
      <c r="B7" s="2" t="s">
        <v>316</v>
      </c>
      <c r="C7" s="314">
        <f>Рентабельность!C9</f>
        <v>135293.5</v>
      </c>
      <c r="D7" s="314">
        <f>Рентабельность!D9</f>
        <v>143704</v>
      </c>
      <c r="E7" s="314">
        <f>Рентабельность!E9</f>
        <v>147962.5</v>
      </c>
      <c r="F7" s="314">
        <f aca="true" t="shared" si="0" ref="F7:G9">(D7-C7)/C7*100</f>
        <v>6.216484901344114</v>
      </c>
      <c r="G7" s="314">
        <f t="shared" si="0"/>
        <v>2.9633830651895563</v>
      </c>
    </row>
    <row r="8" spans="2:7" ht="12.75">
      <c r="B8" s="2" t="s">
        <v>317</v>
      </c>
      <c r="C8" s="314">
        <f>Рентабельность!C6</f>
        <v>65747</v>
      </c>
      <c r="D8" s="314">
        <f>Рентабельность!D6</f>
        <v>65909</v>
      </c>
      <c r="E8" s="314">
        <f>Рентабельность!E6</f>
        <v>122618</v>
      </c>
      <c r="F8" s="314">
        <f t="shared" si="0"/>
        <v>0.24639907524297688</v>
      </c>
      <c r="G8" s="314">
        <f t="shared" si="0"/>
        <v>86.04136005704835</v>
      </c>
    </row>
    <row r="9" spans="2:7" ht="15" customHeight="1">
      <c r="B9" s="2" t="s">
        <v>390</v>
      </c>
      <c r="C9" s="314">
        <f>Рентабельность!C8</f>
        <v>15730</v>
      </c>
      <c r="D9" s="314">
        <f>Рентабельность!D8</f>
        <v>15926</v>
      </c>
      <c r="E9" s="314">
        <f>Рентабельность!E8</f>
        <v>37934</v>
      </c>
      <c r="F9" s="314">
        <f t="shared" si="0"/>
        <v>1.246026700572155</v>
      </c>
      <c r="G9" s="314">
        <f t="shared" si="0"/>
        <v>138.18912470174558</v>
      </c>
    </row>
    <row r="12" ht="12.75">
      <c r="B12" s="3" t="s">
        <v>32</v>
      </c>
    </row>
    <row r="14" spans="2:8" ht="28.5" customHeight="1">
      <c r="B14" s="658" t="s">
        <v>486</v>
      </c>
      <c r="C14" s="658" t="s">
        <v>354</v>
      </c>
      <c r="D14" s="700"/>
      <c r="E14" s="658" t="s">
        <v>488</v>
      </c>
      <c r="F14" s="658"/>
      <c r="G14" s="658" t="s">
        <v>321</v>
      </c>
      <c r="H14" s="658"/>
    </row>
    <row r="15" spans="2:8" ht="48.75" customHeight="1">
      <c r="B15" s="658"/>
      <c r="C15" s="43" t="s">
        <v>485</v>
      </c>
      <c r="D15" s="47" t="s">
        <v>487</v>
      </c>
      <c r="E15" s="43" t="s">
        <v>485</v>
      </c>
      <c r="F15" s="44" t="s">
        <v>487</v>
      </c>
      <c r="G15" s="44" t="s">
        <v>324</v>
      </c>
      <c r="H15" s="44" t="s">
        <v>325</v>
      </c>
    </row>
    <row r="16" spans="2:8" ht="45">
      <c r="B16" s="13" t="s">
        <v>482</v>
      </c>
      <c r="C16" s="315">
        <f>Данные!D120</f>
        <v>9572</v>
      </c>
      <c r="D16" s="315">
        <f>Данные!E120</f>
        <v>28310</v>
      </c>
      <c r="E16" s="315">
        <f>C16/C20*100</f>
        <v>60.10297626522667</v>
      </c>
      <c r="F16" s="315">
        <f>D16/D20*100</f>
        <v>74.6296198660832</v>
      </c>
      <c r="G16" s="315">
        <f>D16-C16</f>
        <v>18738</v>
      </c>
      <c r="H16" s="315">
        <f>F16-E16</f>
        <v>14.52664360085653</v>
      </c>
    </row>
    <row r="17" spans="2:8" ht="22.5">
      <c r="B17" s="13" t="s">
        <v>490</v>
      </c>
      <c r="C17" s="312">
        <f>Данные!D121-Данные!D122+Данные!D123+Данные!D124-Данные!D125</f>
        <v>-3278</v>
      </c>
      <c r="D17" s="312">
        <f>Данные!E121-Данные!E122+Данные!E123+Данные!E124-Данные!E125</f>
        <v>-2409</v>
      </c>
      <c r="E17" s="315">
        <f>C17/C20*100</f>
        <v>-20.58269496420947</v>
      </c>
      <c r="F17" s="315">
        <f>D17/D20*100</f>
        <v>-6.350503506089524</v>
      </c>
      <c r="G17" s="315">
        <f>D17-C17</f>
        <v>869</v>
      </c>
      <c r="H17" s="315">
        <f>F17-E17</f>
        <v>14.232191458119946</v>
      </c>
    </row>
    <row r="18" spans="2:8" ht="36.75" customHeight="1">
      <c r="B18" s="33" t="s">
        <v>483</v>
      </c>
      <c r="C18" s="314">
        <f>Данные!D126-Данные!D127-Данные!D131</f>
        <v>9285</v>
      </c>
      <c r="D18" s="314">
        <f>Данные!E126-Данные!E127-Данные!E131</f>
        <v>11860</v>
      </c>
      <c r="E18" s="315">
        <f>C18/C20*100</f>
        <v>58.30089162375989</v>
      </c>
      <c r="F18" s="315">
        <f>D18/D20*100</f>
        <v>31.264828386144355</v>
      </c>
      <c r="G18" s="315">
        <f>D18-C18</f>
        <v>2575</v>
      </c>
      <c r="H18" s="315">
        <f>F18-E18</f>
        <v>-27.036063237615533</v>
      </c>
    </row>
    <row r="19" spans="2:8" ht="25.5" customHeight="1">
      <c r="B19" s="33" t="s">
        <v>491</v>
      </c>
      <c r="C19" s="314">
        <f>Данные!D133</f>
        <v>347</v>
      </c>
      <c r="D19" s="314">
        <f>Данные!E133</f>
        <v>173</v>
      </c>
      <c r="E19" s="315">
        <f>C19/C20*100</f>
        <v>2.1788270752229058</v>
      </c>
      <c r="F19" s="315">
        <f>D19/D20*100</f>
        <v>0.45605525386197077</v>
      </c>
      <c r="G19" s="315">
        <f>D19-C19</f>
        <v>-174</v>
      </c>
      <c r="H19" s="315">
        <f>F19-E19</f>
        <v>-1.722771821360935</v>
      </c>
    </row>
    <row r="20" spans="2:8" ht="22.5">
      <c r="B20" s="36" t="s">
        <v>484</v>
      </c>
      <c r="C20" s="316">
        <f>C16+C17+C18+C19</f>
        <v>15926</v>
      </c>
      <c r="D20" s="316">
        <f>D16+D17+D18+D19</f>
        <v>37934</v>
      </c>
      <c r="E20" s="316">
        <f>E16+E17+E18+E19</f>
        <v>100.00000000000001</v>
      </c>
      <c r="F20" s="316">
        <f>F16+F17+F18+F19</f>
        <v>100.00000000000001</v>
      </c>
      <c r="G20" s="315">
        <f>D20-C20</f>
        <v>22008</v>
      </c>
      <c r="H20" s="315">
        <f>F20-E20</f>
        <v>0</v>
      </c>
    </row>
    <row r="21" spans="2:7" ht="12.75">
      <c r="B21" s="34" t="s">
        <v>489</v>
      </c>
      <c r="C21" s="35"/>
      <c r="D21" s="35"/>
      <c r="E21" s="35"/>
      <c r="F21" s="35"/>
      <c r="G21" s="35"/>
    </row>
    <row r="22" spans="2:7" ht="12.75">
      <c r="B22" s="35"/>
      <c r="C22" s="35"/>
      <c r="D22" s="35"/>
      <c r="E22" s="35"/>
      <c r="F22" s="35"/>
      <c r="G22" s="35"/>
    </row>
    <row r="23" spans="2:7" ht="12.75">
      <c r="B23" s="35"/>
      <c r="C23" s="35"/>
      <c r="D23" s="35"/>
      <c r="E23" s="35"/>
      <c r="F23" s="35"/>
      <c r="G23" s="35"/>
    </row>
    <row r="24" ht="12.75">
      <c r="B24" s="3" t="s">
        <v>446</v>
      </c>
    </row>
    <row r="26" spans="2:8" ht="26.25" customHeight="1">
      <c r="B26" s="658" t="s">
        <v>486</v>
      </c>
      <c r="C26" s="658" t="s">
        <v>354</v>
      </c>
      <c r="D26" s="700"/>
      <c r="E26" s="658" t="s">
        <v>488</v>
      </c>
      <c r="F26" s="658"/>
      <c r="G26" s="658" t="s">
        <v>321</v>
      </c>
      <c r="H26" s="658"/>
    </row>
    <row r="27" spans="2:8" ht="33.75">
      <c r="B27" s="658"/>
      <c r="C27" s="43" t="s">
        <v>485</v>
      </c>
      <c r="D27" s="47" t="s">
        <v>487</v>
      </c>
      <c r="E27" s="43" t="s">
        <v>485</v>
      </c>
      <c r="F27" s="44" t="s">
        <v>487</v>
      </c>
      <c r="G27" s="44" t="s">
        <v>324</v>
      </c>
      <c r="H27" s="44" t="s">
        <v>325</v>
      </c>
    </row>
    <row r="28" spans="2:8" ht="45">
      <c r="B28" s="13" t="s">
        <v>482</v>
      </c>
      <c r="C28" s="315">
        <f>Данные!C120</f>
        <v>10073</v>
      </c>
      <c r="D28" s="315">
        <f>Данные!D120</f>
        <v>9572</v>
      </c>
      <c r="E28" s="315">
        <f>C28/C32*100</f>
        <v>64.0368722186904</v>
      </c>
      <c r="F28" s="315">
        <f>D28/D32*100</f>
        <v>60.10297626522667</v>
      </c>
      <c r="G28" s="315">
        <f>D28-C28</f>
        <v>-501</v>
      </c>
      <c r="H28" s="315">
        <f>F28-E28</f>
        <v>-3.9338959534637326</v>
      </c>
    </row>
    <row r="29" spans="2:8" ht="22.5">
      <c r="B29" s="13" t="s">
        <v>490</v>
      </c>
      <c r="C29" s="312">
        <f>Данные!C121-Данные!C122+Данные!C123+Данные!C124-Данные!C125</f>
        <v>-2108</v>
      </c>
      <c r="D29" s="312">
        <f>Данные!D121-Данные!D122+Данные!D123+Данные!D124-Данные!D125</f>
        <v>-3278</v>
      </c>
      <c r="E29" s="315">
        <f>C29/C32*100</f>
        <v>-13.40114431023522</v>
      </c>
      <c r="F29" s="315">
        <f>D29/D32*100</f>
        <v>-20.58269496420947</v>
      </c>
      <c r="G29" s="315">
        <f>D29-C29</f>
        <v>-1170</v>
      </c>
      <c r="H29" s="315">
        <f>F29-E29</f>
        <v>-7.18155065397425</v>
      </c>
    </row>
    <row r="30" spans="2:8" ht="35.25" customHeight="1">
      <c r="B30" s="33" t="s">
        <v>483</v>
      </c>
      <c r="C30" s="314">
        <f>Данные!C126-Данные!C127-Данные!C131</f>
        <v>8150</v>
      </c>
      <c r="D30" s="314">
        <f>Данные!D126-Данные!D127-Данные!D131</f>
        <v>9285</v>
      </c>
      <c r="E30" s="315">
        <f>C30/C32*100</f>
        <v>51.81182453909726</v>
      </c>
      <c r="F30" s="315">
        <f>D30/D32*100</f>
        <v>58.30089162375989</v>
      </c>
      <c r="G30" s="315">
        <f>D30-C30</f>
        <v>1135</v>
      </c>
      <c r="H30" s="315">
        <f>F30-E30</f>
        <v>6.489067084662629</v>
      </c>
    </row>
    <row r="31" spans="2:8" ht="22.5">
      <c r="B31" s="33" t="s">
        <v>491</v>
      </c>
      <c r="C31" s="314">
        <f>Данные!C133-Данные!C134</f>
        <v>-385</v>
      </c>
      <c r="D31" s="314">
        <f>Данные!D133-Данные!D134</f>
        <v>347</v>
      </c>
      <c r="E31" s="315">
        <f>C31/C32*100</f>
        <v>-2.4475524475524475</v>
      </c>
      <c r="F31" s="315">
        <f>D31/D32*100</f>
        <v>2.1788270752229058</v>
      </c>
      <c r="G31" s="315">
        <f>D31-C31</f>
        <v>732</v>
      </c>
      <c r="H31" s="315">
        <f>F31-E31</f>
        <v>4.626379522775354</v>
      </c>
    </row>
    <row r="32" spans="2:8" ht="22.5">
      <c r="B32" s="36" t="s">
        <v>484</v>
      </c>
      <c r="C32" s="316">
        <f aca="true" t="shared" si="1" ref="C32:H32">C28+C29+C30+C31</f>
        <v>15730</v>
      </c>
      <c r="D32" s="316">
        <f t="shared" si="1"/>
        <v>15926</v>
      </c>
      <c r="E32" s="316">
        <f t="shared" si="1"/>
        <v>100</v>
      </c>
      <c r="F32" s="316">
        <f t="shared" si="1"/>
        <v>100.00000000000001</v>
      </c>
      <c r="G32" s="316">
        <f t="shared" si="1"/>
        <v>196</v>
      </c>
      <c r="H32" s="316">
        <f t="shared" si="1"/>
        <v>0</v>
      </c>
    </row>
    <row r="33" spans="2:7" ht="12.75">
      <c r="B33" s="34" t="s">
        <v>489</v>
      </c>
      <c r="C33" s="35"/>
      <c r="D33" s="35"/>
      <c r="E33" s="35"/>
      <c r="F33" s="35"/>
      <c r="G33" s="35"/>
    </row>
    <row r="35" ht="12.75">
      <c r="B35" s="3" t="s">
        <v>447</v>
      </c>
    </row>
    <row r="37" spans="2:8" ht="12.75">
      <c r="B37" s="658" t="s">
        <v>492</v>
      </c>
      <c r="C37" s="658"/>
      <c r="D37" s="700" t="s">
        <v>494</v>
      </c>
      <c r="E37" s="658" t="s">
        <v>493</v>
      </c>
      <c r="F37" s="700" t="s">
        <v>321</v>
      </c>
      <c r="G37" s="700"/>
      <c r="H37" s="37"/>
    </row>
    <row r="38" spans="2:8" ht="45">
      <c r="B38" s="658"/>
      <c r="C38" s="658"/>
      <c r="D38" s="700"/>
      <c r="E38" s="658"/>
      <c r="F38" s="47" t="s">
        <v>501</v>
      </c>
      <c r="G38" s="47" t="s">
        <v>495</v>
      </c>
      <c r="H38" s="37"/>
    </row>
    <row r="39" spans="2:7" ht="34.5" customHeight="1">
      <c r="B39" s="701" t="s">
        <v>496</v>
      </c>
      <c r="C39" s="701"/>
      <c r="D39" s="317">
        <f>Данные!C111</f>
        <v>65747</v>
      </c>
      <c r="E39" s="312">
        <f>Данные!D111</f>
        <v>65909</v>
      </c>
      <c r="F39" s="312">
        <f>E39-D39</f>
        <v>162</v>
      </c>
      <c r="G39" s="313">
        <v>100</v>
      </c>
    </row>
    <row r="40" spans="2:7" ht="23.25" customHeight="1">
      <c r="B40" s="701" t="s">
        <v>497</v>
      </c>
      <c r="C40" s="701"/>
      <c r="D40" s="312">
        <f>Данные!C114</f>
        <v>55674</v>
      </c>
      <c r="E40" s="312">
        <f>Данные!D114</f>
        <v>56337</v>
      </c>
      <c r="F40" s="312">
        <f>E40-D40</f>
        <v>663</v>
      </c>
      <c r="G40" s="313">
        <f>F40/F39*100</f>
        <v>409.25925925925924</v>
      </c>
    </row>
    <row r="41" spans="2:7" ht="12.75">
      <c r="B41" s="701" t="s">
        <v>498</v>
      </c>
      <c r="C41" s="701"/>
      <c r="D41" s="312">
        <f>Данные!C118</f>
        <v>0</v>
      </c>
      <c r="E41" s="312">
        <f>Данные!D118</f>
        <v>0</v>
      </c>
      <c r="F41" s="312">
        <f>E41-D41</f>
        <v>0</v>
      </c>
      <c r="G41" s="313">
        <f>F41/F39*100</f>
        <v>0</v>
      </c>
    </row>
    <row r="42" spans="2:7" ht="13.5" customHeight="1">
      <c r="B42" s="701" t="s">
        <v>499</v>
      </c>
      <c r="C42" s="701"/>
      <c r="D42" s="312">
        <f>Данные!C119</f>
        <v>0</v>
      </c>
      <c r="E42" s="312">
        <f>Данные!D119</f>
        <v>0</v>
      </c>
      <c r="F42" s="312">
        <f>E42-D42</f>
        <v>0</v>
      </c>
      <c r="G42" s="313">
        <f>F42/F39*100</f>
        <v>0</v>
      </c>
    </row>
    <row r="43" spans="2:7" ht="14.25" customHeight="1">
      <c r="B43" s="701" t="s">
        <v>500</v>
      </c>
      <c r="C43" s="701"/>
      <c r="D43" s="312">
        <f>D39-D40-D41-D42</f>
        <v>10073</v>
      </c>
      <c r="E43" s="312">
        <f>E39-E40-E41-E42</f>
        <v>9572</v>
      </c>
      <c r="F43" s="312">
        <f>F39-F40-F41-F42</f>
        <v>-501</v>
      </c>
      <c r="G43" s="313">
        <f>F43/F39</f>
        <v>-3.0925925925925926</v>
      </c>
    </row>
    <row r="45" ht="12.75">
      <c r="B45" s="3" t="s">
        <v>33</v>
      </c>
    </row>
    <row r="47" spans="2:7" ht="12.75">
      <c r="B47" s="658" t="s">
        <v>492</v>
      </c>
      <c r="C47" s="658"/>
      <c r="D47" s="700" t="s">
        <v>494</v>
      </c>
      <c r="E47" s="658" t="s">
        <v>493</v>
      </c>
      <c r="F47" s="700" t="s">
        <v>321</v>
      </c>
      <c r="G47" s="700"/>
    </row>
    <row r="48" spans="2:7" ht="45">
      <c r="B48" s="658"/>
      <c r="C48" s="658"/>
      <c r="D48" s="700"/>
      <c r="E48" s="658"/>
      <c r="F48" s="47" t="s">
        <v>501</v>
      </c>
      <c r="G48" s="47" t="s">
        <v>495</v>
      </c>
    </row>
    <row r="49" spans="2:7" ht="36" customHeight="1">
      <c r="B49" s="701" t="s">
        <v>496</v>
      </c>
      <c r="C49" s="701"/>
      <c r="D49" s="307">
        <f>Данные!D111</f>
        <v>65909</v>
      </c>
      <c r="E49" s="307">
        <f>Данные!E111</f>
        <v>122618</v>
      </c>
      <c r="F49" s="304">
        <f>E49-D49</f>
        <v>56709</v>
      </c>
      <c r="G49" s="305">
        <v>100</v>
      </c>
    </row>
    <row r="50" spans="2:7" ht="12.75">
      <c r="B50" s="701" t="s">
        <v>497</v>
      </c>
      <c r="C50" s="701"/>
      <c r="D50" s="307">
        <f>Данные!D114</f>
        <v>56337</v>
      </c>
      <c r="E50" s="307">
        <f>Данные!E114</f>
        <v>94308</v>
      </c>
      <c r="F50" s="304">
        <f>E50-D50</f>
        <v>37971</v>
      </c>
      <c r="G50" s="305">
        <f>F50/F49*100</f>
        <v>66.95762577368671</v>
      </c>
    </row>
    <row r="51" spans="2:7" ht="12.75">
      <c r="B51" s="701" t="s">
        <v>498</v>
      </c>
      <c r="C51" s="701"/>
      <c r="D51" s="307">
        <f>Данные!D118</f>
        <v>0</v>
      </c>
      <c r="E51" s="307">
        <f>Данные!E118</f>
        <v>0</v>
      </c>
      <c r="F51" s="304">
        <f>E51-D51</f>
        <v>0</v>
      </c>
      <c r="G51" s="305">
        <f>F51/F49*100</f>
        <v>0</v>
      </c>
    </row>
    <row r="52" spans="2:7" ht="12.75">
      <c r="B52" s="701" t="s">
        <v>499</v>
      </c>
      <c r="C52" s="701"/>
      <c r="D52" s="307">
        <f>Данные!D119</f>
        <v>0</v>
      </c>
      <c r="E52" s="307">
        <f>Данные!E119</f>
        <v>0</v>
      </c>
      <c r="F52" s="304">
        <f>E52-D52</f>
        <v>0</v>
      </c>
      <c r="G52" s="305">
        <f>F52/F49*100</f>
        <v>0</v>
      </c>
    </row>
    <row r="53" spans="2:7" ht="12.75">
      <c r="B53" s="701" t="s">
        <v>500</v>
      </c>
      <c r="C53" s="701"/>
      <c r="D53" s="318">
        <f>D49-D50-D51-D52</f>
        <v>9572</v>
      </c>
      <c r="E53" s="318">
        <f>E49-E50-E51-E52</f>
        <v>28310</v>
      </c>
      <c r="F53" s="304">
        <f>F49-F50-F51-F52</f>
        <v>18738</v>
      </c>
      <c r="G53" s="305">
        <f>F53/F49</f>
        <v>0.3304237422631328</v>
      </c>
    </row>
  </sheetData>
  <sheetProtection/>
  <mergeCells count="30">
    <mergeCell ref="B51:C51"/>
    <mergeCell ref="B52:C52"/>
    <mergeCell ref="B53:C53"/>
    <mergeCell ref="E47:E48"/>
    <mergeCell ref="B49:C49"/>
    <mergeCell ref="B50:C50"/>
    <mergeCell ref="B42:C42"/>
    <mergeCell ref="B43:C43"/>
    <mergeCell ref="B47:C48"/>
    <mergeCell ref="D47:D48"/>
    <mergeCell ref="B40:C40"/>
    <mergeCell ref="B41:C41"/>
    <mergeCell ref="B37:C38"/>
    <mergeCell ref="D37:D38"/>
    <mergeCell ref="E37:E38"/>
    <mergeCell ref="F47:G47"/>
    <mergeCell ref="B26:B27"/>
    <mergeCell ref="C26:D26"/>
    <mergeCell ref="E26:F26"/>
    <mergeCell ref="G26:H26"/>
    <mergeCell ref="F37:G37"/>
    <mergeCell ref="B39:C39"/>
    <mergeCell ref="B4:B6"/>
    <mergeCell ref="C4:E5"/>
    <mergeCell ref="F4:G4"/>
    <mergeCell ref="F5:G5"/>
    <mergeCell ref="B14:B15"/>
    <mergeCell ref="G14:H14"/>
    <mergeCell ref="C14:D14"/>
    <mergeCell ref="E14:F14"/>
  </mergeCells>
  <printOptions/>
  <pageMargins left="0.75" right="0.75" top="1" bottom="1" header="0.5" footer="0.5"/>
  <pageSetup horizontalDpi="300" verticalDpi="300" orientation="portrait" paperSize="9" scale="99" r:id="rId1"/>
  <rowBreaks count="1" manualBreakCount="1">
    <brk id="34" max="255" man="1"/>
  </rowBreaks>
</worksheet>
</file>

<file path=xl/worksheets/sheet23.xml><?xml version="1.0" encoding="utf-8"?>
<worksheet xmlns="http://schemas.openxmlformats.org/spreadsheetml/2006/main" xmlns:r="http://schemas.openxmlformats.org/officeDocument/2006/relationships">
  <dimension ref="B2:G28"/>
  <sheetViews>
    <sheetView zoomScalePageLayoutView="0" workbookViewId="0" topLeftCell="A7">
      <selection activeCell="B2" sqref="B2"/>
    </sheetView>
  </sheetViews>
  <sheetFormatPr defaultColWidth="9.00390625" defaultRowHeight="12.75"/>
  <cols>
    <col min="1" max="1" width="3.00390625" style="0" customWidth="1"/>
    <col min="3" max="3" width="36.125" style="0" customWidth="1"/>
    <col min="4" max="5" width="10.25390625" style="0" bestFit="1" customWidth="1"/>
    <col min="7" max="7" width="3.75390625" style="0" customWidth="1"/>
    <col min="8" max="8" width="2.75390625" style="0" customWidth="1"/>
  </cols>
  <sheetData>
    <row r="2" ht="12.75">
      <c r="B2" s="3" t="s">
        <v>542</v>
      </c>
    </row>
    <row r="3" ht="12.75">
      <c r="B3" s="14" t="s">
        <v>459</v>
      </c>
    </row>
    <row r="5" spans="2:7" ht="56.25">
      <c r="B5" s="662" t="s">
        <v>318</v>
      </c>
      <c r="C5" s="662"/>
      <c r="D5" s="43" t="s">
        <v>544</v>
      </c>
      <c r="E5" s="43" t="s">
        <v>543</v>
      </c>
      <c r="F5" s="662" t="s">
        <v>545</v>
      </c>
      <c r="G5" s="662"/>
    </row>
    <row r="6" spans="2:7" ht="16.5" customHeight="1">
      <c r="B6" s="702" t="s">
        <v>571</v>
      </c>
      <c r="C6" s="703"/>
      <c r="D6" s="66">
        <f>Рентабельность!D13</f>
        <v>0.11082502922674387</v>
      </c>
      <c r="E6" s="66">
        <f>Рентабельность!E13</f>
        <v>0.2563757708878939</v>
      </c>
      <c r="F6" s="704">
        <f>E6-D6</f>
        <v>0.14555074166115</v>
      </c>
      <c r="G6" s="705" t="e">
        <f>Рентабельность!#REF!</f>
        <v>#REF!</v>
      </c>
    </row>
    <row r="7" spans="2:7" ht="14.25" customHeight="1">
      <c r="B7" s="702" t="s">
        <v>572</v>
      </c>
      <c r="C7" s="706"/>
      <c r="D7" s="66">
        <f>Рентабельность!D18</f>
        <v>0.24163619536026945</v>
      </c>
      <c r="E7" s="66">
        <f>Рентабельность!E18</f>
        <v>0.30936730333230034</v>
      </c>
      <c r="F7" s="704">
        <f>E7-D7</f>
        <v>0.06773110797203089</v>
      </c>
      <c r="G7" s="705" t="e">
        <f>Рентабельность!#REF!</f>
        <v>#REF!</v>
      </c>
    </row>
    <row r="8" spans="2:7" ht="13.5" customHeight="1">
      <c r="B8" s="98" t="s">
        <v>546</v>
      </c>
      <c r="C8" s="99"/>
      <c r="D8" s="66">
        <f>Активность!D16</f>
        <v>0.4586441574347269</v>
      </c>
      <c r="E8" s="66">
        <f>Активность!E16</f>
        <v>0.8287099771901665</v>
      </c>
      <c r="F8" s="704">
        <f>E8-D8</f>
        <v>0.37006581975543956</v>
      </c>
      <c r="G8" s="705" t="e">
        <f>Рентабельность!#REF!</f>
        <v>#REF!</v>
      </c>
    </row>
    <row r="9" spans="2:7" ht="15" customHeight="1">
      <c r="B9" s="702" t="s">
        <v>547</v>
      </c>
      <c r="C9" s="707"/>
      <c r="D9" s="708"/>
      <c r="E9" s="708"/>
      <c r="F9" s="708"/>
      <c r="G9" s="709"/>
    </row>
    <row r="10" spans="2:7" ht="16.5" customHeight="1">
      <c r="B10" s="711" t="s">
        <v>561</v>
      </c>
      <c r="C10" s="712"/>
      <c r="D10" s="704">
        <f>F7*D8</f>
        <v>0.03106447694795262</v>
      </c>
      <c r="E10" s="713"/>
      <c r="F10" s="713"/>
      <c r="G10" s="705"/>
    </row>
    <row r="11" spans="2:7" ht="26.25" customHeight="1">
      <c r="B11" s="711" t="s">
        <v>564</v>
      </c>
      <c r="C11" s="712"/>
      <c r="D11" s="714">
        <f>(D10/F6)*100</f>
        <v>21.342712921568204</v>
      </c>
      <c r="E11" s="715"/>
      <c r="F11" s="715"/>
      <c r="G11" s="716"/>
    </row>
    <row r="12" spans="2:7" ht="26.25" customHeight="1">
      <c r="B12" s="702" t="s">
        <v>562</v>
      </c>
      <c r="C12" s="707"/>
      <c r="D12" s="710"/>
      <c r="E12" s="710"/>
      <c r="F12" s="710"/>
      <c r="G12" s="706"/>
    </row>
    <row r="13" spans="2:7" ht="12.75" customHeight="1">
      <c r="B13" s="711" t="s">
        <v>563</v>
      </c>
      <c r="C13" s="712"/>
      <c r="D13" s="704">
        <f>E7*F8</f>
        <v>0.11448626471319745</v>
      </c>
      <c r="E13" s="713"/>
      <c r="F13" s="713"/>
      <c r="G13" s="705"/>
    </row>
    <row r="14" spans="2:7" ht="28.5" customHeight="1">
      <c r="B14" s="711" t="s">
        <v>565</v>
      </c>
      <c r="C14" s="712"/>
      <c r="D14" s="714">
        <f>(D13/F6)*100</f>
        <v>78.65728707843184</v>
      </c>
      <c r="E14" s="715"/>
      <c r="F14" s="715"/>
      <c r="G14" s="716"/>
    </row>
    <row r="15" ht="12.75">
      <c r="B15" s="3"/>
    </row>
    <row r="16" ht="12.75">
      <c r="B16" s="3" t="s">
        <v>542</v>
      </c>
    </row>
    <row r="17" ht="12.75">
      <c r="B17" s="14" t="s">
        <v>460</v>
      </c>
    </row>
    <row r="18" ht="12.75">
      <c r="B18" s="14"/>
    </row>
    <row r="19" spans="2:7" ht="56.25">
      <c r="B19" s="662" t="s">
        <v>318</v>
      </c>
      <c r="C19" s="662"/>
      <c r="D19" s="43" t="s">
        <v>544</v>
      </c>
      <c r="E19" s="43" t="s">
        <v>543</v>
      </c>
      <c r="F19" s="662" t="s">
        <v>545</v>
      </c>
      <c r="G19" s="662"/>
    </row>
    <row r="20" spans="2:7" ht="14.25" customHeight="1">
      <c r="B20" s="719" t="s">
        <v>571</v>
      </c>
      <c r="C20" s="721"/>
      <c r="D20" s="66">
        <f>Рентабельность!C13</f>
        <v>0.1162657481697199</v>
      </c>
      <c r="E20" s="66">
        <f>Рентабельность!D13</f>
        <v>0.11082502922674387</v>
      </c>
      <c r="F20" s="704">
        <f>E20-D20</f>
        <v>-0.005440718942976042</v>
      </c>
      <c r="G20" s="705" t="e">
        <f>Рентабельность!#REF!</f>
        <v>#REF!</v>
      </c>
    </row>
    <row r="21" spans="2:7" ht="13.5" customHeight="1">
      <c r="B21" s="719" t="s">
        <v>572</v>
      </c>
      <c r="C21" s="722"/>
      <c r="D21" s="66">
        <f>Рентабельность!C18</f>
        <v>0.23925046009703865</v>
      </c>
      <c r="E21" s="66">
        <f>Рентабельность!D18</f>
        <v>0.24163619536026945</v>
      </c>
      <c r="F21" s="704">
        <f>E21-D21</f>
        <v>0.002385735263230798</v>
      </c>
      <c r="G21" s="705" t="e">
        <f>Рентабельность!#REF!</f>
        <v>#REF!</v>
      </c>
    </row>
    <row r="22" spans="2:7" ht="12.75">
      <c r="B22" s="100" t="s">
        <v>546</v>
      </c>
      <c r="C22" s="101"/>
      <c r="D22" s="66">
        <f>Активность!C16</f>
        <v>0.4859583054618293</v>
      </c>
      <c r="E22" s="66">
        <f>Активность!D16</f>
        <v>0.4586441574347269</v>
      </c>
      <c r="F22" s="704">
        <f>E22-D22</f>
        <v>-0.02731414802710236</v>
      </c>
      <c r="G22" s="705" t="e">
        <f>Рентабельность!#REF!</f>
        <v>#REF!</v>
      </c>
    </row>
    <row r="23" spans="2:7" ht="17.25" customHeight="1">
      <c r="B23" s="719" t="s">
        <v>547</v>
      </c>
      <c r="C23" s="720"/>
      <c r="D23" s="708"/>
      <c r="E23" s="708"/>
      <c r="F23" s="708"/>
      <c r="G23" s="709"/>
    </row>
    <row r="24" spans="2:7" ht="12.75">
      <c r="B24" s="717" t="s">
        <v>561</v>
      </c>
      <c r="C24" s="718"/>
      <c r="D24" s="704">
        <f>F21*D22</f>
        <v>0.00115936786580017</v>
      </c>
      <c r="E24" s="713"/>
      <c r="F24" s="713"/>
      <c r="G24" s="705"/>
    </row>
    <row r="25" spans="2:7" ht="25.5" customHeight="1">
      <c r="B25" s="717" t="s">
        <v>564</v>
      </c>
      <c r="C25" s="718"/>
      <c r="D25" s="714">
        <f>(D24/F20)*100</f>
        <v>-21.309093117131365</v>
      </c>
      <c r="E25" s="715"/>
      <c r="F25" s="715"/>
      <c r="G25" s="716"/>
    </row>
    <row r="26" spans="2:7" ht="25.5" customHeight="1">
      <c r="B26" s="719" t="s">
        <v>562</v>
      </c>
      <c r="C26" s="720"/>
      <c r="D26" s="710"/>
      <c r="E26" s="710"/>
      <c r="F26" s="710"/>
      <c r="G26" s="706"/>
    </row>
    <row r="27" spans="2:7" ht="12.75">
      <c r="B27" s="717" t="s">
        <v>563</v>
      </c>
      <c r="C27" s="718"/>
      <c r="D27" s="704">
        <f>E21*F22</f>
        <v>-0.006600086808776224</v>
      </c>
      <c r="E27" s="713"/>
      <c r="F27" s="713"/>
      <c r="G27" s="705"/>
    </row>
    <row r="28" spans="2:7" ht="24.75" customHeight="1">
      <c r="B28" s="717" t="s">
        <v>565</v>
      </c>
      <c r="C28" s="718"/>
      <c r="D28" s="714">
        <f>(D27/F20)*100</f>
        <v>121.30909311713158</v>
      </c>
      <c r="E28" s="715"/>
      <c r="F28" s="715"/>
      <c r="G28" s="716"/>
    </row>
  </sheetData>
  <sheetProtection/>
  <mergeCells count="34">
    <mergeCell ref="B24:C24"/>
    <mergeCell ref="B27:C27"/>
    <mergeCell ref="D27:G27"/>
    <mergeCell ref="B26:G26"/>
    <mergeCell ref="B19:C19"/>
    <mergeCell ref="B25:C25"/>
    <mergeCell ref="D24:G24"/>
    <mergeCell ref="D25:G25"/>
    <mergeCell ref="B20:C20"/>
    <mergeCell ref="B21:C21"/>
    <mergeCell ref="B23:G23"/>
    <mergeCell ref="B14:C14"/>
    <mergeCell ref="D14:G14"/>
    <mergeCell ref="B13:C13"/>
    <mergeCell ref="D13:G13"/>
    <mergeCell ref="B28:C28"/>
    <mergeCell ref="F19:G19"/>
    <mergeCell ref="F20:G20"/>
    <mergeCell ref="F21:G21"/>
    <mergeCell ref="F22:G22"/>
    <mergeCell ref="D28:G28"/>
    <mergeCell ref="F8:G8"/>
    <mergeCell ref="B9:G9"/>
    <mergeCell ref="B12:G12"/>
    <mergeCell ref="B10:C10"/>
    <mergeCell ref="D10:G10"/>
    <mergeCell ref="B11:C11"/>
    <mergeCell ref="D11:G11"/>
    <mergeCell ref="B5:C5"/>
    <mergeCell ref="F5:G5"/>
    <mergeCell ref="B6:C6"/>
    <mergeCell ref="F6:G6"/>
    <mergeCell ref="B7:C7"/>
    <mergeCell ref="F7:G7"/>
  </mergeCells>
  <printOptions/>
  <pageMargins left="0.75" right="0.75" top="1" bottom="1" header="0.5" footer="0.5"/>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I20"/>
  <sheetViews>
    <sheetView zoomScalePageLayoutView="0" workbookViewId="0" topLeftCell="A19">
      <selection activeCell="A17" sqref="A17:C17"/>
    </sheetView>
  </sheetViews>
  <sheetFormatPr defaultColWidth="9.00390625" defaultRowHeight="12.75"/>
  <cols>
    <col min="1" max="1" width="34.625" style="0" customWidth="1"/>
    <col min="2" max="2" width="9.25390625" style="0" customWidth="1"/>
    <col min="3" max="3" width="9.375" style="0" customWidth="1"/>
    <col min="4" max="4" width="11.375" style="0" customWidth="1"/>
    <col min="5" max="5" width="8.625" style="0" customWidth="1"/>
  </cols>
  <sheetData>
    <row r="1" spans="1:6" ht="28.5" customHeight="1">
      <c r="A1" s="656" t="s">
        <v>318</v>
      </c>
      <c r="B1" s="656" t="s">
        <v>313</v>
      </c>
      <c r="C1" s="656"/>
      <c r="D1" s="656"/>
      <c r="E1" s="662" t="s">
        <v>672</v>
      </c>
      <c r="F1" s="662"/>
    </row>
    <row r="2" spans="1:6" ht="15.75" customHeight="1">
      <c r="A2" s="656"/>
      <c r="B2" s="42">
        <v>2002</v>
      </c>
      <c r="C2" s="42">
        <v>2003</v>
      </c>
      <c r="D2" s="42">
        <v>2004</v>
      </c>
      <c r="E2" s="42">
        <v>2003</v>
      </c>
      <c r="F2" s="42">
        <v>2004</v>
      </c>
    </row>
    <row r="3" spans="1:6" ht="16.5" customHeight="1">
      <c r="A3" s="71" t="s">
        <v>573</v>
      </c>
      <c r="B3" s="70">
        <f>Рентабельность!C13</f>
        <v>0.1162657481697199</v>
      </c>
      <c r="C3" s="70">
        <f>Рентабельность!D13</f>
        <v>0.11082502922674387</v>
      </c>
      <c r="D3" s="70">
        <f>Рентабельность!E13</f>
        <v>0.2563757708878939</v>
      </c>
      <c r="E3" s="70">
        <f aca="true" t="shared" si="0" ref="E3:F6">C3-B3</f>
        <v>-0.005440718942976042</v>
      </c>
      <c r="F3" s="70">
        <f t="shared" si="0"/>
        <v>0.14555074166115</v>
      </c>
    </row>
    <row r="4" spans="1:6" ht="15.75" customHeight="1">
      <c r="A4" s="71" t="s">
        <v>574</v>
      </c>
      <c r="B4" s="70">
        <f>Рентабельность!C18</f>
        <v>0.23925046009703865</v>
      </c>
      <c r="C4" s="70">
        <f>Рентабельность!D18</f>
        <v>0.24163619536026945</v>
      </c>
      <c r="D4" s="70">
        <f>Рентабельность!E18</f>
        <v>0.30936730333230034</v>
      </c>
      <c r="E4" s="70">
        <f t="shared" si="0"/>
        <v>0.002385735263230798</v>
      </c>
      <c r="F4" s="70">
        <f t="shared" si="0"/>
        <v>0.06773110797203089</v>
      </c>
    </row>
    <row r="5" spans="1:6" ht="17.25" customHeight="1">
      <c r="A5" s="71" t="s">
        <v>575</v>
      </c>
      <c r="B5" s="70">
        <f>Активность!C18</f>
        <v>0.6828515937392894</v>
      </c>
      <c r="C5" s="70">
        <f>Активность!D18</f>
        <v>0.6590240975902409</v>
      </c>
      <c r="D5" s="70">
        <f>Активность!E18</f>
        <v>1.13078682356413</v>
      </c>
      <c r="E5" s="70">
        <f t="shared" si="0"/>
        <v>-0.023827496149048444</v>
      </c>
      <c r="F5" s="70">
        <f t="shared" si="0"/>
        <v>0.47176272597388913</v>
      </c>
    </row>
    <row r="6" spans="1:6" ht="16.5" customHeight="1">
      <c r="A6" s="71" t="s">
        <v>576</v>
      </c>
      <c r="B6" s="70">
        <f>Активность!C19</f>
        <v>1.114393708261297</v>
      </c>
      <c r="C6" s="70">
        <f>Активность!D19</f>
        <v>0.8376842907981698</v>
      </c>
      <c r="D6" s="70">
        <f>Активность!E19</f>
        <v>1.283319814751825</v>
      </c>
      <c r="E6" s="70">
        <f t="shared" si="0"/>
        <v>-0.27670941746312716</v>
      </c>
      <c r="F6" s="70">
        <f t="shared" si="0"/>
        <v>0.44563552395365524</v>
      </c>
    </row>
    <row r="7" ht="12.75">
      <c r="A7" s="67"/>
    </row>
    <row r="8" spans="1:6" ht="12" customHeight="1">
      <c r="A8" s="727" t="s">
        <v>461</v>
      </c>
      <c r="B8" s="727"/>
      <c r="C8" s="727"/>
      <c r="D8" s="727"/>
      <c r="E8" s="728"/>
      <c r="F8" s="728"/>
    </row>
    <row r="9" spans="1:6" ht="33.75" customHeight="1">
      <c r="A9" s="724" t="s">
        <v>318</v>
      </c>
      <c r="B9" s="725"/>
      <c r="C9" s="726"/>
      <c r="D9" s="43" t="s">
        <v>674</v>
      </c>
      <c r="E9" s="662" t="s">
        <v>673</v>
      </c>
      <c r="F9" s="662"/>
    </row>
    <row r="10" spans="1:9" ht="21.75" customHeight="1">
      <c r="A10" s="723" t="s">
        <v>629</v>
      </c>
      <c r="B10" s="723"/>
      <c r="C10" s="723"/>
      <c r="D10" s="70">
        <f>C4/(1/B5+1/B6)-B3</f>
        <v>-0.013955388651481132</v>
      </c>
      <c r="E10" s="729">
        <f>D10/D13*100</f>
        <v>256.49898106752073</v>
      </c>
      <c r="F10" s="729"/>
      <c r="I10" s="68"/>
    </row>
    <row r="11" spans="1:7" ht="24.75" customHeight="1">
      <c r="A11" s="723" t="s">
        <v>630</v>
      </c>
      <c r="B11" s="723"/>
      <c r="C11" s="723"/>
      <c r="D11" s="70">
        <f>(C4/(1/C5+1/B6))-(C4/(1/B5+1/B6))</f>
        <v>-0.0022433615820747765</v>
      </c>
      <c r="E11" s="729">
        <f>D11/D13*100</f>
        <v>41.2328151038008</v>
      </c>
      <c r="F11" s="729"/>
      <c r="G11" s="69"/>
    </row>
    <row r="12" spans="1:6" ht="23.25" customHeight="1">
      <c r="A12" s="723" t="s">
        <v>631</v>
      </c>
      <c r="B12" s="723"/>
      <c r="C12" s="723"/>
      <c r="D12" s="70">
        <f>C3-(C4/(1/C5+1/B6))</f>
        <v>0.010758031290579867</v>
      </c>
      <c r="E12" s="729">
        <f>D12/D13*100</f>
        <v>-197.73179617132155</v>
      </c>
      <c r="F12" s="729"/>
    </row>
    <row r="13" spans="1:6" ht="15" customHeight="1">
      <c r="A13" s="723" t="s">
        <v>632</v>
      </c>
      <c r="B13" s="723"/>
      <c r="C13" s="723"/>
      <c r="D13" s="70">
        <f>SUM(D10:D12)</f>
        <v>-0.005440718942976042</v>
      </c>
      <c r="E13" s="729">
        <f>SUM(E10:F12)</f>
        <v>100</v>
      </c>
      <c r="F13" s="729"/>
    </row>
    <row r="15" spans="1:6" ht="12.75" customHeight="1">
      <c r="A15" s="727" t="s">
        <v>462</v>
      </c>
      <c r="B15" s="727"/>
      <c r="C15" s="727"/>
      <c r="D15" s="727"/>
      <c r="E15" s="728"/>
      <c r="F15" s="728"/>
    </row>
    <row r="16" spans="1:6" ht="33.75" customHeight="1">
      <c r="A16" s="662" t="s">
        <v>318</v>
      </c>
      <c r="B16" s="662"/>
      <c r="C16" s="662"/>
      <c r="D16" s="43" t="s">
        <v>633</v>
      </c>
      <c r="E16" s="662" t="s">
        <v>673</v>
      </c>
      <c r="F16" s="662"/>
    </row>
    <row r="17" spans="1:6" ht="27.75" customHeight="1">
      <c r="A17" s="730" t="s">
        <v>629</v>
      </c>
      <c r="B17" s="730"/>
      <c r="C17" s="730"/>
      <c r="D17" s="70">
        <f>D4/(1/C5+1/C6)-C3</f>
        <v>0.0032837043080291006</v>
      </c>
      <c r="E17" s="729">
        <f>D17/D20*100</f>
        <v>2.2560546724480055</v>
      </c>
      <c r="F17" s="729"/>
    </row>
    <row r="18" spans="1:6" ht="24" customHeight="1">
      <c r="A18" s="730" t="s">
        <v>630</v>
      </c>
      <c r="B18" s="730"/>
      <c r="C18" s="730"/>
      <c r="D18" s="70">
        <f>(D4/(1/D5+1/C6))-(D4/(1/C5+1/C6))</f>
        <v>0.03476102221833097</v>
      </c>
      <c r="E18" s="729">
        <f>D18/D20*100</f>
        <v>23.882408170242446</v>
      </c>
      <c r="F18" s="729"/>
    </row>
    <row r="19" spans="1:6" ht="24.75" customHeight="1">
      <c r="A19" s="730" t="s">
        <v>631</v>
      </c>
      <c r="B19" s="730"/>
      <c r="C19" s="730"/>
      <c r="D19" s="70">
        <f>D3-(D4/(1/D5+1/C6))</f>
        <v>0.10750601513478994</v>
      </c>
      <c r="E19" s="729">
        <f>D19/D20*100</f>
        <v>73.86153715730954</v>
      </c>
      <c r="F19" s="729"/>
    </row>
    <row r="20" spans="1:6" ht="15.75" customHeight="1">
      <c r="A20" s="730" t="s">
        <v>632</v>
      </c>
      <c r="B20" s="730"/>
      <c r="C20" s="730"/>
      <c r="D20" s="70">
        <f>SUM(D17:D19)</f>
        <v>0.14555074166115</v>
      </c>
      <c r="E20" s="729">
        <v>100</v>
      </c>
      <c r="F20" s="729"/>
    </row>
  </sheetData>
  <sheetProtection/>
  <mergeCells count="25">
    <mergeCell ref="A19:C19"/>
    <mergeCell ref="E19:F19"/>
    <mergeCell ref="A20:C20"/>
    <mergeCell ref="E20:F20"/>
    <mergeCell ref="E17:F17"/>
    <mergeCell ref="E18:F18"/>
    <mergeCell ref="A17:C17"/>
    <mergeCell ref="A18:C18"/>
    <mergeCell ref="E16:F16"/>
    <mergeCell ref="A8:F8"/>
    <mergeCell ref="A15:F15"/>
    <mergeCell ref="E9:F9"/>
    <mergeCell ref="E10:F10"/>
    <mergeCell ref="E11:F11"/>
    <mergeCell ref="E12:F12"/>
    <mergeCell ref="E13:F13"/>
    <mergeCell ref="A16:C16"/>
    <mergeCell ref="A10:C10"/>
    <mergeCell ref="A11:C11"/>
    <mergeCell ref="A12:C12"/>
    <mergeCell ref="A13:C13"/>
    <mergeCell ref="E1:F1"/>
    <mergeCell ref="A1:A2"/>
    <mergeCell ref="B1:D1"/>
    <mergeCell ref="A9:C9"/>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I38"/>
  <sheetViews>
    <sheetView zoomScaleSheetLayoutView="100" zoomScalePageLayoutView="0" workbookViewId="0" topLeftCell="A1">
      <selection activeCell="B15" sqref="B15"/>
    </sheetView>
  </sheetViews>
  <sheetFormatPr defaultColWidth="9.00390625" defaultRowHeight="12.75"/>
  <cols>
    <col min="1" max="1" width="25.375" style="34" customWidth="1"/>
    <col min="2" max="2" width="11.875" style="34" customWidth="1"/>
    <col min="3" max="3" width="11.125" style="34" customWidth="1"/>
    <col min="4" max="4" width="13.25390625" style="34" customWidth="1"/>
    <col min="5" max="5" width="12.625" style="34" customWidth="1"/>
    <col min="6" max="6" width="13.00390625" style="34" customWidth="1"/>
    <col min="7" max="7" width="6.75390625" style="34" customWidth="1"/>
    <col min="8" max="8" width="6.125" style="34" customWidth="1"/>
    <col min="9" max="16384" width="9.125" style="34" customWidth="1"/>
  </cols>
  <sheetData>
    <row r="1" spans="1:5" ht="12.75">
      <c r="A1" s="734" t="s">
        <v>463</v>
      </c>
      <c r="B1" s="734"/>
      <c r="C1" s="734"/>
      <c r="D1" s="734"/>
      <c r="E1" s="734"/>
    </row>
    <row r="3" spans="1:9" ht="36" customHeight="1">
      <c r="A3" s="85" t="s">
        <v>318</v>
      </c>
      <c r="B3" s="85">
        <v>2003</v>
      </c>
      <c r="C3" s="85">
        <v>2004</v>
      </c>
      <c r="D3" s="86" t="s">
        <v>978</v>
      </c>
      <c r="E3" s="85">
        <v>2002</v>
      </c>
      <c r="F3" s="86" t="s">
        <v>978</v>
      </c>
      <c r="G3" s="88"/>
      <c r="H3" s="89"/>
      <c r="I3" s="89"/>
    </row>
    <row r="4" spans="1:9" ht="11.25" customHeight="1">
      <c r="A4" s="87" t="s">
        <v>666</v>
      </c>
      <c r="B4" s="319">
        <f>Данные!D111</f>
        <v>65909</v>
      </c>
      <c r="C4" s="319">
        <f>Данные!E111</f>
        <v>122618</v>
      </c>
      <c r="D4" s="319">
        <f aca="true" t="shared" si="0" ref="D4:D9">C4/B4*100</f>
        <v>186.04136005704834</v>
      </c>
      <c r="E4" s="319">
        <f>Данные!C111</f>
        <v>65747</v>
      </c>
      <c r="F4" s="319">
        <f aca="true" t="shared" si="1" ref="F4:F9">B4/E4*100</f>
        <v>100.24639907524298</v>
      </c>
      <c r="G4" s="30"/>
      <c r="H4" s="90"/>
      <c r="I4" s="90"/>
    </row>
    <row r="5" spans="1:9" ht="12.75" customHeight="1">
      <c r="A5" s="87" t="s">
        <v>667</v>
      </c>
      <c r="B5" s="319">
        <f>Данные!D58+Данные!D59</f>
        <v>18255</v>
      </c>
      <c r="C5" s="319">
        <f>Данные!E58+Данные!E59</f>
        <v>20521</v>
      </c>
      <c r="D5" s="319">
        <f t="shared" si="0"/>
        <v>112.41303752396603</v>
      </c>
      <c r="E5" s="319">
        <f>Данные!C58+Данные!C59</f>
        <v>18358</v>
      </c>
      <c r="F5" s="319">
        <f t="shared" si="1"/>
        <v>99.4389367033446</v>
      </c>
      <c r="G5" s="30"/>
      <c r="H5" s="90"/>
      <c r="I5" s="90"/>
    </row>
    <row r="6" spans="1:9" ht="11.25" customHeight="1">
      <c r="A6" s="87" t="s">
        <v>634</v>
      </c>
      <c r="B6" s="319">
        <f>Данные!D57</f>
        <v>61764</v>
      </c>
      <c r="C6" s="319">
        <f>Данные!E57</f>
        <v>82477</v>
      </c>
      <c r="D6" s="319">
        <f t="shared" si="0"/>
        <v>133.53571659866589</v>
      </c>
      <c r="E6" s="319">
        <f>Данные!C57</f>
        <v>53120</v>
      </c>
      <c r="F6" s="319">
        <f t="shared" si="1"/>
        <v>116.2725903614458</v>
      </c>
      <c r="G6" s="30"/>
      <c r="H6" s="90"/>
      <c r="I6" s="90"/>
    </row>
    <row r="7" spans="1:9" ht="11.25">
      <c r="A7" s="87" t="s">
        <v>635</v>
      </c>
      <c r="B7" s="319">
        <f>Данные!D60</f>
        <v>3256</v>
      </c>
      <c r="C7" s="319">
        <f>Данные!E60</f>
        <v>7856</v>
      </c>
      <c r="D7" s="319">
        <f t="shared" si="0"/>
        <v>241.27764127764127</v>
      </c>
      <c r="E7" s="319">
        <f>Данные!C60</f>
        <v>2355</v>
      </c>
      <c r="F7" s="319">
        <f t="shared" si="1"/>
        <v>138.25902335456476</v>
      </c>
      <c r="G7" s="30"/>
      <c r="H7" s="90"/>
      <c r="I7" s="90"/>
    </row>
    <row r="8" spans="1:9" ht="24" customHeight="1">
      <c r="A8" s="87" t="s">
        <v>664</v>
      </c>
      <c r="B8" s="319">
        <f>Рентабельность!D10</f>
        <v>100010</v>
      </c>
      <c r="C8" s="319">
        <f>Рентабельность!E10</f>
        <v>108436</v>
      </c>
      <c r="D8" s="319">
        <f t="shared" si="0"/>
        <v>108.42515748425157</v>
      </c>
      <c r="E8" s="319">
        <f>Рентабельность!C10</f>
        <v>96283</v>
      </c>
      <c r="F8" s="319">
        <f t="shared" si="1"/>
        <v>103.87088063313357</v>
      </c>
      <c r="G8" s="30"/>
      <c r="H8" s="90"/>
      <c r="I8" s="90"/>
    </row>
    <row r="9" spans="1:9" ht="11.25">
      <c r="A9" s="87" t="s">
        <v>665</v>
      </c>
      <c r="B9" s="319">
        <f>Рентабельность!D11</f>
        <v>78680</v>
      </c>
      <c r="C9" s="319">
        <f>Рентабельность!E11</f>
        <v>95547.5</v>
      </c>
      <c r="D9" s="319">
        <f t="shared" si="0"/>
        <v>121.43810371123539</v>
      </c>
      <c r="E9" s="319">
        <f>Рентабельность!C11</f>
        <v>58998</v>
      </c>
      <c r="F9" s="319">
        <f t="shared" si="1"/>
        <v>133.36045289670838</v>
      </c>
      <c r="G9" s="91"/>
      <c r="H9" s="91"/>
      <c r="I9" s="91"/>
    </row>
    <row r="10" ht="11.25">
      <c r="A10" s="74"/>
    </row>
    <row r="11" spans="1:5" ht="12.75">
      <c r="A11" s="734" t="s">
        <v>668</v>
      </c>
      <c r="B11" s="734"/>
      <c r="C11" s="734"/>
      <c r="D11" s="734"/>
      <c r="E11" s="734"/>
    </row>
    <row r="12" ht="11.25">
      <c r="A12" s="74"/>
    </row>
    <row r="13" spans="1:4" ht="11.25">
      <c r="A13" s="75" t="s">
        <v>318</v>
      </c>
      <c r="B13" s="76">
        <v>2003</v>
      </c>
      <c r="C13" s="76">
        <v>2004</v>
      </c>
      <c r="D13" s="34" t="s">
        <v>846</v>
      </c>
    </row>
    <row r="14" spans="1:3" ht="11.25">
      <c r="A14" s="72" t="s">
        <v>648</v>
      </c>
      <c r="B14" s="93">
        <f>B5/B4</f>
        <v>0.276972795824546</v>
      </c>
      <c r="C14" s="93">
        <f>C5/C4</f>
        <v>0.16735715800290332</v>
      </c>
    </row>
    <row r="15" spans="1:3" ht="11.25">
      <c r="A15" s="72" t="s">
        <v>636</v>
      </c>
      <c r="B15" s="93">
        <f>B6/B4</f>
        <v>0.9371102580831145</v>
      </c>
      <c r="C15" s="93">
        <f>C6/C4</f>
        <v>0.6726337079384755</v>
      </c>
    </row>
    <row r="16" spans="1:3" ht="11.25">
      <c r="A16" s="72" t="s">
        <v>637</v>
      </c>
      <c r="B16" s="93">
        <f>B7/B4</f>
        <v>0.04940144745027235</v>
      </c>
      <c r="C16" s="93">
        <f>C7/C4</f>
        <v>0.06406889689931332</v>
      </c>
    </row>
    <row r="17" spans="1:3" ht="11.25">
      <c r="A17" s="72" t="s">
        <v>638</v>
      </c>
      <c r="B17" s="93">
        <f>B8/B4</f>
        <v>1.5173951964071675</v>
      </c>
      <c r="C17" s="93">
        <f>C8/C4</f>
        <v>0.8843399827105319</v>
      </c>
    </row>
    <row r="18" spans="1:3" ht="21.75" customHeight="1">
      <c r="A18" s="72" t="s">
        <v>639</v>
      </c>
      <c r="B18" s="93">
        <f>B9/B4</f>
        <v>1.1937671638167777</v>
      </c>
      <c r="C18" s="93">
        <f>C9/C4</f>
        <v>0.7792289875874667</v>
      </c>
    </row>
    <row r="19" spans="1:4" ht="11.25">
      <c r="A19" s="77"/>
      <c r="B19" s="78"/>
      <c r="C19" s="79"/>
      <c r="D19" s="79"/>
    </row>
    <row r="20" spans="1:4" ht="12.75">
      <c r="A20" s="739" t="s">
        <v>663</v>
      </c>
      <c r="B20" s="739"/>
      <c r="C20" s="739"/>
      <c r="D20" s="79"/>
    </row>
    <row r="21" spans="1:8" ht="33.75" customHeight="1">
      <c r="A21" s="75" t="s">
        <v>312</v>
      </c>
      <c r="B21" s="75" t="s">
        <v>1009</v>
      </c>
      <c r="C21" s="75" t="s">
        <v>655</v>
      </c>
      <c r="D21" s="75" t="s">
        <v>657</v>
      </c>
      <c r="E21" s="75" t="s">
        <v>649</v>
      </c>
      <c r="F21" s="75" t="s">
        <v>656</v>
      </c>
      <c r="G21" s="735" t="s">
        <v>647</v>
      </c>
      <c r="H21" s="737"/>
    </row>
    <row r="22" spans="1:8" ht="15.75" customHeight="1">
      <c r="A22" s="95" t="s">
        <v>464</v>
      </c>
      <c r="B22" s="94">
        <f>B14</f>
        <v>0.276972795824546</v>
      </c>
      <c r="C22" s="94">
        <f>B15</f>
        <v>0.9371102580831145</v>
      </c>
      <c r="D22" s="94">
        <f>B16</f>
        <v>0.04940144745027235</v>
      </c>
      <c r="E22" s="94">
        <f>B17</f>
        <v>1.5173951964071675</v>
      </c>
      <c r="F22" s="94">
        <f>B18</f>
        <v>1.1937671638167777</v>
      </c>
      <c r="G22" s="741">
        <f>(1-(B14+B15+B16))/(B17+B18)</f>
        <v>-0.09718506911410826</v>
      </c>
      <c r="H22" s="741"/>
    </row>
    <row r="23" spans="1:8" ht="14.25" customHeight="1">
      <c r="A23" s="95" t="s">
        <v>659</v>
      </c>
      <c r="B23" s="94">
        <f>C14</f>
        <v>0.16735715800290332</v>
      </c>
      <c r="C23" s="94">
        <f>B15</f>
        <v>0.9371102580831145</v>
      </c>
      <c r="D23" s="94">
        <f>B16</f>
        <v>0.04940144745027235</v>
      </c>
      <c r="E23" s="94">
        <f>B17</f>
        <v>1.5173951964071675</v>
      </c>
      <c r="F23" s="94">
        <f>B18</f>
        <v>1.1937671638167777</v>
      </c>
      <c r="G23" s="741">
        <f>(1-(C14+B15+B16))/(B17+B18)</f>
        <v>-0.05675383584315497</v>
      </c>
      <c r="H23" s="741"/>
    </row>
    <row r="24" spans="1:8" ht="22.5">
      <c r="A24" s="95" t="s">
        <v>660</v>
      </c>
      <c r="B24" s="94">
        <f>C14</f>
        <v>0.16735715800290332</v>
      </c>
      <c r="C24" s="94">
        <f>C15</f>
        <v>0.6726337079384755</v>
      </c>
      <c r="D24" s="94">
        <f>B16</f>
        <v>0.04940144745027235</v>
      </c>
      <c r="E24" s="94">
        <f>B17</f>
        <v>1.5173951964071675</v>
      </c>
      <c r="F24" s="94">
        <f>B18</f>
        <v>1.1937671638167777</v>
      </c>
      <c r="G24" s="740">
        <f>(1-(C14+C15+B16))/(B17+B18)</f>
        <v>0.040797145988413816</v>
      </c>
      <c r="H24" s="740"/>
    </row>
    <row r="25" spans="1:8" ht="22.5">
      <c r="A25" s="95" t="s">
        <v>661</v>
      </c>
      <c r="B25" s="94">
        <f>C14</f>
        <v>0.16735715800290332</v>
      </c>
      <c r="C25" s="94">
        <f>C15</f>
        <v>0.6726337079384755</v>
      </c>
      <c r="D25" s="94">
        <f>C16</f>
        <v>0.06406889689931332</v>
      </c>
      <c r="E25" s="94">
        <f>B17</f>
        <v>1.5173951964071675</v>
      </c>
      <c r="F25" s="94">
        <f>B18</f>
        <v>1.1937671638167777</v>
      </c>
      <c r="G25" s="740">
        <f>(1-(C14+C15+C16))/(B17+B18)</f>
        <v>0.03538712345924687</v>
      </c>
      <c r="H25" s="740"/>
    </row>
    <row r="26" spans="1:8" ht="22.5">
      <c r="A26" s="95" t="s">
        <v>662</v>
      </c>
      <c r="B26" s="94">
        <f>C14</f>
        <v>0.16735715800290332</v>
      </c>
      <c r="C26" s="94">
        <f>C15</f>
        <v>0.6726337079384755</v>
      </c>
      <c r="D26" s="94">
        <f>C16</f>
        <v>0.06406889689931332</v>
      </c>
      <c r="E26" s="94">
        <f>C17</f>
        <v>0.8843399827105319</v>
      </c>
      <c r="F26" s="94">
        <f>B18</f>
        <v>1.1937671638167777</v>
      </c>
      <c r="G26" s="741">
        <f>(1-(C14+C15+C16))/(C17+B18)</f>
        <v>0.046167127291599004</v>
      </c>
      <c r="H26" s="741"/>
    </row>
    <row r="27" spans="1:8" ht="11.25">
      <c r="A27" s="95" t="s">
        <v>465</v>
      </c>
      <c r="B27" s="94">
        <f>C14</f>
        <v>0.16735715800290332</v>
      </c>
      <c r="C27" s="94">
        <f>C15</f>
        <v>0.6726337079384755</v>
      </c>
      <c r="D27" s="94">
        <f>C16</f>
        <v>0.06406889689931332</v>
      </c>
      <c r="E27" s="94">
        <f>C17</f>
        <v>0.8843399827105319</v>
      </c>
      <c r="F27" s="94">
        <f>C18</f>
        <v>0.7792289875874667</v>
      </c>
      <c r="G27" s="741">
        <f>(1-(C14+C15+C16))/(C17+C18)</f>
        <v>0.05767133125963627</v>
      </c>
      <c r="H27" s="741"/>
    </row>
    <row r="28" spans="1:4" ht="11.25">
      <c r="A28" s="77"/>
      <c r="B28" s="78"/>
      <c r="C28" s="79"/>
      <c r="D28" s="79"/>
    </row>
    <row r="29" spans="1:6" ht="12.75">
      <c r="A29" s="738" t="s">
        <v>670</v>
      </c>
      <c r="B29" s="738"/>
      <c r="C29" s="738"/>
      <c r="D29" s="738"/>
      <c r="E29" s="738"/>
      <c r="F29" s="738"/>
    </row>
    <row r="30" spans="1:7" ht="51" customHeight="1">
      <c r="A30" s="735" t="s">
        <v>318</v>
      </c>
      <c r="B30" s="736"/>
      <c r="C30" s="737"/>
      <c r="D30" s="75" t="s">
        <v>669</v>
      </c>
      <c r="E30" s="75" t="s">
        <v>640</v>
      </c>
      <c r="F30" s="75" t="s">
        <v>641</v>
      </c>
      <c r="G30" s="80"/>
    </row>
    <row r="31" spans="1:6" ht="21.75" customHeight="1">
      <c r="A31" s="731" t="s">
        <v>654</v>
      </c>
      <c r="B31" s="732"/>
      <c r="C31" s="733"/>
      <c r="D31" s="73" t="s">
        <v>650</v>
      </c>
      <c r="E31" s="81">
        <f>G23-G22</f>
        <v>0.04043123327095329</v>
      </c>
      <c r="F31" s="82">
        <f>E31/E36*100</f>
        <v>26.10885515443525</v>
      </c>
    </row>
    <row r="32" spans="1:6" ht="21.75" customHeight="1">
      <c r="A32" s="731" t="s">
        <v>642</v>
      </c>
      <c r="B32" s="732"/>
      <c r="C32" s="733"/>
      <c r="D32" s="73" t="s">
        <v>651</v>
      </c>
      <c r="E32" s="81">
        <f>G24-G23</f>
        <v>0.0975509818315688</v>
      </c>
      <c r="F32" s="82">
        <f>E32/E36*100</f>
        <v>62.99447849499947</v>
      </c>
    </row>
    <row r="33" spans="1:6" ht="23.25" customHeight="1">
      <c r="A33" s="731" t="s">
        <v>643</v>
      </c>
      <c r="B33" s="732"/>
      <c r="C33" s="733"/>
      <c r="D33" s="73" t="s">
        <v>652</v>
      </c>
      <c r="E33" s="81">
        <f>G25-G24</f>
        <v>-0.005410022529166947</v>
      </c>
      <c r="F33" s="82">
        <f>E33/E36*100</f>
        <v>-3.4935737341885167</v>
      </c>
    </row>
    <row r="34" spans="1:6" ht="22.5" customHeight="1">
      <c r="A34" s="731" t="s">
        <v>644</v>
      </c>
      <c r="B34" s="732"/>
      <c r="C34" s="733"/>
      <c r="D34" s="73" t="s">
        <v>653</v>
      </c>
      <c r="E34" s="83">
        <f>G26-G25</f>
        <v>0.010780003832352135</v>
      </c>
      <c r="F34" s="82">
        <f>E34/E36*100</f>
        <v>6.961290464155626</v>
      </c>
    </row>
    <row r="35" spans="1:6" ht="22.5" customHeight="1">
      <c r="A35" s="731" t="s">
        <v>645</v>
      </c>
      <c r="B35" s="732"/>
      <c r="C35" s="733"/>
      <c r="D35" s="73" t="s">
        <v>658</v>
      </c>
      <c r="E35" s="83">
        <f>G27-G26</f>
        <v>0.011504203968037266</v>
      </c>
      <c r="F35" s="82">
        <f>E35/E36*100</f>
        <v>7.4289496205981616</v>
      </c>
    </row>
    <row r="36" spans="1:6" ht="12" customHeight="1">
      <c r="A36" s="731" t="s">
        <v>646</v>
      </c>
      <c r="B36" s="732"/>
      <c r="C36" s="733"/>
      <c r="D36" s="73" t="s">
        <v>671</v>
      </c>
      <c r="E36" s="81">
        <f>G27-G22</f>
        <v>0.15485640037374454</v>
      </c>
      <c r="F36" s="82">
        <v>100</v>
      </c>
    </row>
    <row r="38" ht="11.25">
      <c r="C38" s="84"/>
    </row>
  </sheetData>
  <sheetProtection/>
  <mergeCells count="18">
    <mergeCell ref="G21:H21"/>
    <mergeCell ref="A29:F29"/>
    <mergeCell ref="A20:C20"/>
    <mergeCell ref="G24:H24"/>
    <mergeCell ref="G25:H25"/>
    <mergeCell ref="G26:H26"/>
    <mergeCell ref="G27:H27"/>
    <mergeCell ref="G22:H22"/>
    <mergeCell ref="G23:H23"/>
    <mergeCell ref="A33:C33"/>
    <mergeCell ref="A34:C34"/>
    <mergeCell ref="A35:C35"/>
    <mergeCell ref="A36:C36"/>
    <mergeCell ref="A1:E1"/>
    <mergeCell ref="A11:E11"/>
    <mergeCell ref="A31:C31"/>
    <mergeCell ref="A32:C32"/>
    <mergeCell ref="A30:C30"/>
  </mergeCells>
  <printOptions/>
  <pageMargins left="0.75" right="0.75" top="1" bottom="1" header="0.5" footer="0.5"/>
  <pageSetup horizontalDpi="600" verticalDpi="600" orientation="portrait" paperSize="9" scale="77" r:id="rId1"/>
</worksheet>
</file>

<file path=xl/worksheets/sheet26.xml><?xml version="1.0" encoding="utf-8"?>
<worksheet xmlns="http://schemas.openxmlformats.org/spreadsheetml/2006/main" xmlns:r="http://schemas.openxmlformats.org/officeDocument/2006/relationships">
  <dimension ref="A1:G23"/>
  <sheetViews>
    <sheetView zoomScalePageLayoutView="0" workbookViewId="0" topLeftCell="A7">
      <selection activeCell="A1" sqref="A1:F1"/>
    </sheetView>
  </sheetViews>
  <sheetFormatPr defaultColWidth="9.00390625" defaultRowHeight="12.75"/>
  <cols>
    <col min="1" max="1" width="26.00390625" style="0" customWidth="1"/>
    <col min="2" max="2" width="12.00390625" style="0" customWidth="1"/>
    <col min="3" max="3" width="11.375" style="0" customWidth="1"/>
    <col min="4" max="4" width="11.625" style="0" customWidth="1"/>
    <col min="5" max="5" width="10.125" style="0" customWidth="1"/>
    <col min="6" max="6" width="10.00390625" style="0" customWidth="1"/>
    <col min="7" max="7" width="10.25390625" style="0" customWidth="1"/>
  </cols>
  <sheetData>
    <row r="1" spans="1:6" ht="12.75">
      <c r="A1" s="734" t="s">
        <v>34</v>
      </c>
      <c r="B1" s="734"/>
      <c r="C1" s="734"/>
      <c r="D1" s="734"/>
      <c r="E1" s="734"/>
      <c r="F1" s="734"/>
    </row>
    <row r="2" spans="1:6" ht="12.75">
      <c r="A2" s="116"/>
      <c r="B2" s="116"/>
      <c r="C2" s="116"/>
      <c r="D2" s="116"/>
      <c r="E2" s="116"/>
      <c r="F2" s="116"/>
    </row>
    <row r="3" spans="1:7" ht="31.5" customHeight="1">
      <c r="A3" s="742" t="s">
        <v>695</v>
      </c>
      <c r="B3" s="742" t="s">
        <v>1040</v>
      </c>
      <c r="C3" s="743" t="s">
        <v>0</v>
      </c>
      <c r="D3" s="742" t="s">
        <v>726</v>
      </c>
      <c r="E3" s="742" t="s">
        <v>696</v>
      </c>
      <c r="F3" s="742"/>
      <c r="G3" s="742" t="s">
        <v>1012</v>
      </c>
    </row>
    <row r="4" spans="1:7" ht="35.25" customHeight="1">
      <c r="A4" s="742"/>
      <c r="B4" s="742"/>
      <c r="C4" s="611"/>
      <c r="D4" s="742"/>
      <c r="E4" s="103" t="s">
        <v>727</v>
      </c>
      <c r="F4" s="103" t="s">
        <v>728</v>
      </c>
      <c r="G4" s="742"/>
    </row>
    <row r="5" spans="1:7" ht="13.5" customHeight="1">
      <c r="A5" s="87" t="s">
        <v>698</v>
      </c>
      <c r="B5" s="109">
        <f aca="true" t="shared" si="0" ref="B5:B10">(C16-B16)/B16*100</f>
        <v>-0.5610632966554091</v>
      </c>
      <c r="C5" s="109">
        <f>(Данные!E$111-Данные!D$111)/Данные!D$111*100</f>
        <v>86.04136005704835</v>
      </c>
      <c r="D5" s="109">
        <f>B5/C5</f>
        <v>-0.0065208557405811</v>
      </c>
      <c r="E5" s="112">
        <f aca="true" t="shared" si="1" ref="E5:E10">D5*100</f>
        <v>-0.65208557405811</v>
      </c>
      <c r="F5" s="112">
        <f aca="true" t="shared" si="2" ref="F5:F10">100-E5</f>
        <v>100.6520855740581</v>
      </c>
      <c r="G5" s="280">
        <f>5факторов!C5-5факторов!B5*'Интенс04-05'!D23</f>
        <v>-13440.850278414175</v>
      </c>
    </row>
    <row r="6" spans="1:7" ht="14.25" customHeight="1">
      <c r="A6" s="87" t="s">
        <v>697</v>
      </c>
      <c r="B6" s="109">
        <f t="shared" si="0"/>
        <v>16.272590361445783</v>
      </c>
      <c r="C6" s="109">
        <f>(Данные!E$111-Данные!D$111)/Данные!D$111*100</f>
        <v>86.04136005704835</v>
      </c>
      <c r="D6" s="109">
        <f>B6/C6</f>
        <v>0.18912521083646866</v>
      </c>
      <c r="E6" s="112">
        <f t="shared" si="1"/>
        <v>18.912521083646865</v>
      </c>
      <c r="F6" s="112">
        <f t="shared" si="2"/>
        <v>81.08747891635313</v>
      </c>
      <c r="G6" s="280">
        <f>5факторов!C6-5факторов!B6*'Интенс04-05'!D23</f>
        <v>-32429.585625635344</v>
      </c>
    </row>
    <row r="7" spans="1:7" ht="12.75">
      <c r="A7" s="87" t="s">
        <v>699</v>
      </c>
      <c r="B7" s="109">
        <f t="shared" si="0"/>
        <v>38.25902335456476</v>
      </c>
      <c r="C7" s="109">
        <f>(Данные!E$111-Данные!D$111)/Данные!D$111*100</f>
        <v>86.04136005704835</v>
      </c>
      <c r="D7" s="109">
        <f>B7/C7</f>
        <v>0.44465851457017563</v>
      </c>
      <c r="E7" s="112">
        <f t="shared" si="1"/>
        <v>44.465851457017564</v>
      </c>
      <c r="F7" s="112">
        <f t="shared" si="2"/>
        <v>55.534148542982436</v>
      </c>
      <c r="G7" s="280">
        <f>5факторов!C7-5факторов!B7*'Интенс04-05'!D23</f>
        <v>1798.4933165425064</v>
      </c>
    </row>
    <row r="8" spans="1:7" ht="14.25" customHeight="1">
      <c r="A8" s="87" t="s">
        <v>700</v>
      </c>
      <c r="B8" s="109">
        <f t="shared" si="0"/>
        <v>-19.391301673228348</v>
      </c>
      <c r="C8" s="109">
        <f>(Данные!E$111-Данные!D$111)/Данные!D$111*100</f>
        <v>86.04136005704835</v>
      </c>
      <c r="D8" s="109">
        <f>B8/C8</f>
        <v>-0.22537186372195017</v>
      </c>
      <c r="E8" s="112">
        <f t="shared" si="1"/>
        <v>-22.537186372195016</v>
      </c>
      <c r="F8" s="112">
        <f t="shared" si="2"/>
        <v>122.53718637219501</v>
      </c>
      <c r="G8" s="280">
        <f>5факторов!C8-5факторов!B8*'Интенс04-05'!D23</f>
        <v>-77623.96419305404</v>
      </c>
    </row>
    <row r="9" spans="1:7" ht="13.5" customHeight="1">
      <c r="A9" s="87" t="s">
        <v>701</v>
      </c>
      <c r="B9" s="109">
        <f t="shared" si="0"/>
        <v>21.438103711235385</v>
      </c>
      <c r="C9" s="109">
        <f>(Данные!E$111-Данные!D$111)/Данные!D$111*100</f>
        <v>86.04136005704835</v>
      </c>
      <c r="D9" s="109">
        <f>B9/C9</f>
        <v>0.2491604467551558</v>
      </c>
      <c r="E9" s="112">
        <f t="shared" si="1"/>
        <v>24.91604467551558</v>
      </c>
      <c r="F9" s="112">
        <f t="shared" si="2"/>
        <v>75.08395532448442</v>
      </c>
      <c r="G9" s="280">
        <f>5факторов!C9-5факторов!B9*'Интенс04-05'!D23</f>
        <v>-50829.842092885636</v>
      </c>
    </row>
    <row r="10" spans="1:7" ht="22.5">
      <c r="A10" s="104" t="s">
        <v>702</v>
      </c>
      <c r="B10" s="109">
        <f t="shared" si="0"/>
        <v>53.19850555261587</v>
      </c>
      <c r="C10" s="109"/>
      <c r="D10" s="109">
        <f>E22/E23</f>
        <v>0.6368837958878849</v>
      </c>
      <c r="E10" s="112">
        <f t="shared" si="1"/>
        <v>63.68837958878849</v>
      </c>
      <c r="F10" s="112">
        <f t="shared" si="2"/>
        <v>36.31162041121151</v>
      </c>
      <c r="G10" s="280">
        <f>SUM(G5:G9)</f>
        <v>-172525.7488734467</v>
      </c>
    </row>
    <row r="11" spans="1:6" ht="12" customHeight="1">
      <c r="A11" s="744" t="s">
        <v>1010</v>
      </c>
      <c r="B11" s="745"/>
      <c r="C11" s="745"/>
      <c r="D11" s="745"/>
      <c r="E11" s="746"/>
      <c r="F11" s="280">
        <f>G5+G6+G7</f>
        <v>-44071.942587507016</v>
      </c>
    </row>
    <row r="12" spans="1:6" ht="21.75" customHeight="1">
      <c r="A12" s="747" t="s">
        <v>1011</v>
      </c>
      <c r="B12" s="748"/>
      <c r="C12" s="748"/>
      <c r="D12" s="748"/>
      <c r="E12" s="749"/>
      <c r="F12" s="280">
        <f>G8+G9</f>
        <v>-128453.80628593967</v>
      </c>
    </row>
    <row r="13" spans="1:6" ht="12.75">
      <c r="A13" s="107"/>
      <c r="B13" s="110"/>
      <c r="C13" s="19"/>
      <c r="D13" s="19"/>
      <c r="E13" s="19"/>
      <c r="F13" s="20"/>
    </row>
    <row r="14" spans="1:6" ht="12.75">
      <c r="A14" s="739" t="s">
        <v>35</v>
      </c>
      <c r="B14" s="739"/>
      <c r="C14" s="739"/>
      <c r="D14" s="739"/>
      <c r="E14" s="739"/>
      <c r="F14" s="20"/>
    </row>
    <row r="15" spans="1:6" ht="24.75" customHeight="1">
      <c r="A15" s="113" t="s">
        <v>312</v>
      </c>
      <c r="B15" s="114" t="s">
        <v>1037</v>
      </c>
      <c r="C15" s="114" t="s">
        <v>1038</v>
      </c>
      <c r="D15" s="113" t="s">
        <v>704</v>
      </c>
      <c r="E15" s="115" t="s">
        <v>718</v>
      </c>
      <c r="F15" s="20"/>
    </row>
    <row r="16" spans="1:6" ht="12.75">
      <c r="A16" s="105" t="s">
        <v>976</v>
      </c>
      <c r="B16" s="280">
        <f>Данные!C58+Данные!C59</f>
        <v>18358</v>
      </c>
      <c r="C16" s="280">
        <f>Данные!D58+Данные!D59</f>
        <v>18255</v>
      </c>
      <c r="D16" s="109">
        <f>C16/B16</f>
        <v>0.9943893670334459</v>
      </c>
      <c r="E16" s="111">
        <f>D16*100-100</f>
        <v>-0.561063296655405</v>
      </c>
      <c r="F16" s="20"/>
    </row>
    <row r="17" spans="1:6" ht="12.75">
      <c r="A17" s="106" t="s">
        <v>720</v>
      </c>
      <c r="B17" s="280">
        <f>Данные!C57</f>
        <v>53120</v>
      </c>
      <c r="C17" s="280">
        <f>Данные!D57</f>
        <v>61764</v>
      </c>
      <c r="D17" s="109">
        <f>C17/B17</f>
        <v>1.162725903614458</v>
      </c>
      <c r="E17" s="111">
        <f aca="true" t="shared" si="3" ref="E17:E23">D17*100-100</f>
        <v>16.272590361445793</v>
      </c>
      <c r="F17" s="20"/>
    </row>
    <row r="18" spans="1:6" ht="12.75">
      <c r="A18" s="106" t="s">
        <v>723</v>
      </c>
      <c r="B18" s="280">
        <f>Данные!C60</f>
        <v>2355</v>
      </c>
      <c r="C18" s="280">
        <f>Данные!D60</f>
        <v>3256</v>
      </c>
      <c r="D18" s="109">
        <f aca="true" t="shared" si="4" ref="D18:D23">C18/B18</f>
        <v>1.3825902335456475</v>
      </c>
      <c r="E18" s="111">
        <f t="shared" si="3"/>
        <v>38.25902335456476</v>
      </c>
      <c r="F18" s="108"/>
    </row>
    <row r="19" spans="1:5" ht="12.75">
      <c r="A19" s="106" t="s">
        <v>1036</v>
      </c>
      <c r="B19" s="280">
        <f>(Данные!D13+Данные!E13)/2</f>
        <v>65024</v>
      </c>
      <c r="C19" s="280">
        <f>(Данные!E13+Данные!F13)/2</f>
        <v>52415</v>
      </c>
      <c r="D19" s="109">
        <f t="shared" si="4"/>
        <v>0.8060869832677166</v>
      </c>
      <c r="E19" s="111">
        <f t="shared" si="3"/>
        <v>-19.39130167322834</v>
      </c>
    </row>
    <row r="20" spans="1:5" ht="12.75">
      <c r="A20" s="106" t="s">
        <v>1039</v>
      </c>
      <c r="B20" s="280">
        <f>(Данные!D47+Данные!E47)/2</f>
        <v>78680</v>
      </c>
      <c r="C20" s="280">
        <f>(Данные!E47+Данные!F47)/2</f>
        <v>95547.5</v>
      </c>
      <c r="D20" s="109">
        <f>C20/B20</f>
        <v>1.2143810371123538</v>
      </c>
      <c r="E20" s="111">
        <f t="shared" si="3"/>
        <v>21.438103711235385</v>
      </c>
    </row>
    <row r="21" spans="1:5" ht="22.5">
      <c r="A21" s="102" t="s">
        <v>703</v>
      </c>
      <c r="B21" s="322">
        <f>5факторов!B4/5факторов!B9</f>
        <v>0.8376842907981698</v>
      </c>
      <c r="C21" s="322">
        <f>5факторов!C4/5факторов!C9</f>
        <v>1.283319814751825</v>
      </c>
      <c r="D21" s="109">
        <f t="shared" si="4"/>
        <v>1.5319850555261587</v>
      </c>
      <c r="E21" s="111">
        <f t="shared" si="3"/>
        <v>53.19850555261587</v>
      </c>
    </row>
    <row r="22" spans="1:5" ht="12.75">
      <c r="A22" s="106" t="s">
        <v>717</v>
      </c>
      <c r="B22" s="322">
        <f>5факторов!B4/(5факторов!B5+5факторов!B6+5факторов!B7+5факторов!B8+5факторов!B9)</f>
        <v>0.2515946786784494</v>
      </c>
      <c r="C22" s="322">
        <f>5факторов!C4/(5факторов!C5+5факторов!C6+5факторов!C7+5факторов!C8+5факторов!C9)</f>
        <v>0.38946440624131495</v>
      </c>
      <c r="D22" s="109">
        <f t="shared" si="4"/>
        <v>1.547983479964892</v>
      </c>
      <c r="E22" s="111">
        <f t="shared" si="3"/>
        <v>54.798347996489184</v>
      </c>
    </row>
    <row r="23" spans="1:5" ht="12.75">
      <c r="A23" s="87" t="s">
        <v>719</v>
      </c>
      <c r="B23" s="280">
        <f>5факторов!B4</f>
        <v>65909</v>
      </c>
      <c r="C23" s="280">
        <f>5факторов!C4</f>
        <v>122618</v>
      </c>
      <c r="D23" s="109">
        <f t="shared" si="4"/>
        <v>1.8604136005704834</v>
      </c>
      <c r="E23" s="111">
        <f t="shared" si="3"/>
        <v>86.04136005704834</v>
      </c>
    </row>
  </sheetData>
  <sheetProtection/>
  <mergeCells count="10">
    <mergeCell ref="A14:E14"/>
    <mergeCell ref="A11:E11"/>
    <mergeCell ref="A12:E12"/>
    <mergeCell ref="A1:F1"/>
    <mergeCell ref="A3:A4"/>
    <mergeCell ref="B3:B4"/>
    <mergeCell ref="D3:D4"/>
    <mergeCell ref="E3:F3"/>
    <mergeCell ref="G3:G4"/>
    <mergeCell ref="C3:C4"/>
  </mergeCell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G23"/>
  <sheetViews>
    <sheetView zoomScalePageLayoutView="0" workbookViewId="0" topLeftCell="A1">
      <selection activeCell="B26" sqref="B26"/>
    </sheetView>
  </sheetViews>
  <sheetFormatPr defaultColWidth="9.00390625" defaultRowHeight="12.75"/>
  <cols>
    <col min="1" max="1" width="26.00390625" style="0" customWidth="1"/>
    <col min="2" max="2" width="12.00390625" style="0" customWidth="1"/>
    <col min="3" max="3" width="11.375" style="0" customWidth="1"/>
    <col min="4" max="4" width="11.625" style="0" customWidth="1"/>
    <col min="5" max="5" width="10.125" style="0" customWidth="1"/>
    <col min="6" max="6" width="10.00390625" style="0" customWidth="1"/>
    <col min="7" max="7" width="10.25390625" style="0" customWidth="1"/>
  </cols>
  <sheetData>
    <row r="1" spans="1:6" ht="12.75">
      <c r="A1" s="734" t="s">
        <v>466</v>
      </c>
      <c r="B1" s="734"/>
      <c r="C1" s="734"/>
      <c r="D1" s="734"/>
      <c r="E1" s="734"/>
      <c r="F1" s="734"/>
    </row>
    <row r="2" spans="1:6" ht="12.75">
      <c r="A2" s="116"/>
      <c r="B2" s="116"/>
      <c r="C2" s="116"/>
      <c r="D2" s="116"/>
      <c r="E2" s="116"/>
      <c r="F2" s="116"/>
    </row>
    <row r="3" spans="1:7" ht="31.5" customHeight="1">
      <c r="A3" s="742" t="s">
        <v>695</v>
      </c>
      <c r="B3" s="742" t="s">
        <v>1040</v>
      </c>
      <c r="C3" s="743" t="s">
        <v>0</v>
      </c>
      <c r="D3" s="742" t="s">
        <v>726</v>
      </c>
      <c r="E3" s="742" t="s">
        <v>696</v>
      </c>
      <c r="F3" s="742"/>
      <c r="G3" s="742" t="s">
        <v>1012</v>
      </c>
    </row>
    <row r="4" spans="1:7" ht="35.25" customHeight="1">
      <c r="A4" s="742"/>
      <c r="B4" s="742"/>
      <c r="C4" s="611"/>
      <c r="D4" s="742"/>
      <c r="E4" s="103" t="s">
        <v>727</v>
      </c>
      <c r="F4" s="103" t="s">
        <v>728</v>
      </c>
      <c r="G4" s="742"/>
    </row>
    <row r="5" spans="1:7" ht="13.5" customHeight="1">
      <c r="A5" s="87" t="s">
        <v>698</v>
      </c>
      <c r="B5" s="109">
        <f aca="true" t="shared" si="0" ref="B5:B10">(C16-B16)/B16*100</f>
        <v>-0.5610632966554091</v>
      </c>
      <c r="C5" s="109">
        <f>(Данные!D$111-Данные!C$111)/Данные!C$111*100</f>
        <v>0.24639907524297688</v>
      </c>
      <c r="D5" s="109">
        <f>B5/C5</f>
        <v>-2.277051146000196</v>
      </c>
      <c r="E5" s="112">
        <f aca="true" t="shared" si="1" ref="E5:E10">D5*100</f>
        <v>-227.7051146000196</v>
      </c>
      <c r="F5" s="112">
        <f aca="true" t="shared" si="2" ref="F5:F10">100-E5</f>
        <v>327.7051146000196</v>
      </c>
      <c r="G5" s="280">
        <f>5факторов!B5-5факторов!E5*'Интенс03-04'!D23</f>
        <v>-148.23394223310606</v>
      </c>
    </row>
    <row r="6" spans="1:7" ht="14.25" customHeight="1">
      <c r="A6" s="87" t="s">
        <v>697</v>
      </c>
      <c r="B6" s="109">
        <f t="shared" si="0"/>
        <v>16.272590361445783</v>
      </c>
      <c r="C6" s="109">
        <f>(Данные!D$111-Данные!C$111)/Данные!C$111*100</f>
        <v>0.24639907524297688</v>
      </c>
      <c r="D6" s="109">
        <f>B6/C6</f>
        <v>66.04160484530715</v>
      </c>
      <c r="E6" s="112">
        <f t="shared" si="1"/>
        <v>6604.160484530715</v>
      </c>
      <c r="F6" s="112">
        <f t="shared" si="2"/>
        <v>-6504.160484530715</v>
      </c>
      <c r="G6" s="280">
        <f>5факторов!B6-5факторов!E6*'Интенс03-04'!D23</f>
        <v>8513.11281123093</v>
      </c>
    </row>
    <row r="7" spans="1:7" ht="12.75">
      <c r="A7" s="87" t="s">
        <v>699</v>
      </c>
      <c r="B7" s="109">
        <f t="shared" si="0"/>
        <v>38.25902335456476</v>
      </c>
      <c r="C7" s="109">
        <f>(Данные!D$111-Данные!C$111)/Данные!C$111*100</f>
        <v>0.24639907524297688</v>
      </c>
      <c r="D7" s="109">
        <f>B7/C7</f>
        <v>155.27259311682525</v>
      </c>
      <c r="E7" s="112">
        <f t="shared" si="1"/>
        <v>15527.259311682525</v>
      </c>
      <c r="F7" s="112">
        <f t="shared" si="2"/>
        <v>-15427.259311682525</v>
      </c>
      <c r="G7" s="280">
        <f>5факторов!B7-5факторов!E7*'Интенс03-04'!D23</f>
        <v>895.1973017780278</v>
      </c>
    </row>
    <row r="8" spans="1:7" ht="14.25" customHeight="1">
      <c r="A8" s="87" t="s">
        <v>700</v>
      </c>
      <c r="B8" s="109">
        <f t="shared" si="0"/>
        <v>-14.773479431945526</v>
      </c>
      <c r="C8" s="109">
        <f>(Данные!D$111-Данные!C$111)/Данные!C$111*100</f>
        <v>0.24639907524297688</v>
      </c>
      <c r="D8" s="109">
        <f>B8/C8</f>
        <v>-59.957527914328544</v>
      </c>
      <c r="E8" s="112">
        <f t="shared" si="1"/>
        <v>-5995.752791432855</v>
      </c>
      <c r="F8" s="112">
        <f t="shared" si="2"/>
        <v>6095.752791432855</v>
      </c>
      <c r="G8" s="280">
        <f>5факторов!B8-5факторов!E8*'Интенс03-04'!D23</f>
        <v>3489.759578383804</v>
      </c>
    </row>
    <row r="9" spans="1:7" ht="13.5" customHeight="1">
      <c r="A9" s="87" t="s">
        <v>701</v>
      </c>
      <c r="B9" s="109">
        <f t="shared" si="0"/>
        <v>33.36045289670837</v>
      </c>
      <c r="C9" s="109">
        <f>(Данные!D$111-Данные!C$111)/Данные!C$111*100</f>
        <v>0.24639907524297688</v>
      </c>
      <c r="D9" s="109">
        <f>B9/C9</f>
        <v>135.3919565802398</v>
      </c>
      <c r="E9" s="112">
        <f t="shared" si="1"/>
        <v>13539.195658023978</v>
      </c>
      <c r="F9" s="112">
        <f t="shared" si="2"/>
        <v>-13439.195658023978</v>
      </c>
      <c r="G9" s="280">
        <f>5факторов!B9-5факторов!E9*'Интенс03-04'!D23</f>
        <v>19536.629473588146</v>
      </c>
    </row>
    <row r="10" spans="1:7" ht="22.5">
      <c r="A10" s="104" t="s">
        <v>702</v>
      </c>
      <c r="B10" s="109">
        <f t="shared" si="0"/>
        <v>-24.83048992576023</v>
      </c>
      <c r="C10" s="109"/>
      <c r="D10" s="109">
        <f>E22/E23</f>
        <v>-50.01936289670217</v>
      </c>
      <c r="E10" s="112">
        <f t="shared" si="1"/>
        <v>-5001.936289670217</v>
      </c>
      <c r="F10" s="112">
        <f t="shared" si="2"/>
        <v>5101.936289670217</v>
      </c>
      <c r="G10" s="280">
        <f>SUM(G5:G9)</f>
        <v>32286.4652227478</v>
      </c>
    </row>
    <row r="11" spans="1:6" ht="12" customHeight="1">
      <c r="A11" s="744" t="s">
        <v>1010</v>
      </c>
      <c r="B11" s="745"/>
      <c r="C11" s="745"/>
      <c r="D11" s="745"/>
      <c r="E11" s="746"/>
      <c r="F11" s="280">
        <f>G5+G6+G7</f>
        <v>9260.076170775852</v>
      </c>
    </row>
    <row r="12" spans="1:6" ht="21.75" customHeight="1">
      <c r="A12" s="747" t="s">
        <v>1011</v>
      </c>
      <c r="B12" s="748"/>
      <c r="C12" s="748"/>
      <c r="D12" s="748"/>
      <c r="E12" s="749"/>
      <c r="F12" s="280">
        <f>G8+G9</f>
        <v>23026.38905197195</v>
      </c>
    </row>
    <row r="13" spans="1:6" ht="12.75">
      <c r="A13" s="107"/>
      <c r="B13" s="110"/>
      <c r="C13" s="19"/>
      <c r="D13" s="19"/>
      <c r="E13" s="19"/>
      <c r="F13" s="20"/>
    </row>
    <row r="14" spans="1:6" ht="12.75">
      <c r="A14" s="739" t="s">
        <v>467</v>
      </c>
      <c r="B14" s="739"/>
      <c r="C14" s="739"/>
      <c r="D14" s="739"/>
      <c r="E14" s="739"/>
      <c r="F14" s="20"/>
    </row>
    <row r="15" spans="1:6" ht="24.75" customHeight="1">
      <c r="A15" s="113" t="s">
        <v>312</v>
      </c>
      <c r="B15" s="114" t="s">
        <v>977</v>
      </c>
      <c r="C15" s="114" t="s">
        <v>1037</v>
      </c>
      <c r="D15" s="113" t="s">
        <v>704</v>
      </c>
      <c r="E15" s="115" t="s">
        <v>718</v>
      </c>
      <c r="F15" s="20"/>
    </row>
    <row r="16" spans="1:6" ht="12.75">
      <c r="A16" s="105" t="s">
        <v>976</v>
      </c>
      <c r="B16" s="280">
        <f>Данные!C58+Данные!C59</f>
        <v>18358</v>
      </c>
      <c r="C16" s="280">
        <f>Данные!D58+Данные!D59</f>
        <v>18255</v>
      </c>
      <c r="D16" s="109">
        <f>C16/B16</f>
        <v>0.9943893670334459</v>
      </c>
      <c r="E16" s="111">
        <f aca="true" t="shared" si="3" ref="E16:E23">D16*100-100</f>
        <v>-0.561063296655405</v>
      </c>
      <c r="F16" s="20"/>
    </row>
    <row r="17" spans="1:6" ht="12.75">
      <c r="A17" s="106" t="s">
        <v>720</v>
      </c>
      <c r="B17" s="280">
        <f>Данные!C57</f>
        <v>53120</v>
      </c>
      <c r="C17" s="280">
        <f>Данные!D57</f>
        <v>61764</v>
      </c>
      <c r="D17" s="109">
        <f aca="true" t="shared" si="4" ref="D17:D23">C17/B17</f>
        <v>1.162725903614458</v>
      </c>
      <c r="E17" s="111">
        <f t="shared" si="3"/>
        <v>16.272590361445793</v>
      </c>
      <c r="F17" s="20"/>
    </row>
    <row r="18" spans="1:6" ht="12.75">
      <c r="A18" s="106" t="s">
        <v>723</v>
      </c>
      <c r="B18" s="280">
        <f>Данные!C60</f>
        <v>2355</v>
      </c>
      <c r="C18" s="280">
        <f>Данные!D60</f>
        <v>3256</v>
      </c>
      <c r="D18" s="109">
        <f t="shared" si="4"/>
        <v>1.3825902335456475</v>
      </c>
      <c r="E18" s="111">
        <f t="shared" si="3"/>
        <v>38.25902335456476</v>
      </c>
      <c r="F18" s="108"/>
    </row>
    <row r="19" spans="1:5" ht="12.75">
      <c r="A19" s="106" t="s">
        <v>1036</v>
      </c>
      <c r="B19" s="280">
        <f>(Данные!C13+Данные!D13)/2</f>
        <v>76295.5</v>
      </c>
      <c r="C19" s="280">
        <f>(Данные!D13+Данные!E13)/2</f>
        <v>65024</v>
      </c>
      <c r="D19" s="109">
        <f t="shared" si="4"/>
        <v>0.8522652056805448</v>
      </c>
      <c r="E19" s="111">
        <f t="shared" si="3"/>
        <v>-14.773479431945518</v>
      </c>
    </row>
    <row r="20" spans="1:5" ht="12.75">
      <c r="A20" s="106" t="s">
        <v>1039</v>
      </c>
      <c r="B20" s="280">
        <f>(Данные!C47+Данные!D47)/2</f>
        <v>58998</v>
      </c>
      <c r="C20" s="280">
        <f>(Данные!D47+Данные!E47)/2</f>
        <v>78680</v>
      </c>
      <c r="D20" s="109">
        <f t="shared" si="4"/>
        <v>1.3336045289670837</v>
      </c>
      <c r="E20" s="111">
        <f t="shared" si="3"/>
        <v>33.36045289670838</v>
      </c>
    </row>
    <row r="21" spans="1:5" ht="22.5">
      <c r="A21" s="102" t="s">
        <v>703</v>
      </c>
      <c r="B21" s="322">
        <f>5факторов!E4/5факторов!E9</f>
        <v>1.114393708261297</v>
      </c>
      <c r="C21" s="322">
        <f>5факторов!B4/5факторов!B9</f>
        <v>0.8376842907981698</v>
      </c>
      <c r="D21" s="109">
        <f>C21/B21</f>
        <v>0.7516951007423978</v>
      </c>
      <c r="E21" s="111">
        <f t="shared" si="3"/>
        <v>-24.83048992576022</v>
      </c>
    </row>
    <row r="22" spans="1:5" ht="12.75">
      <c r="A22" s="106" t="s">
        <v>717</v>
      </c>
      <c r="B22" s="322">
        <f>5факторов!E4/(5факторов!E5+5факторов!E6+5факторов!E7+5факторов!E8+5факторов!E9)</f>
        <v>0.28696194907338707</v>
      </c>
      <c r="C22" s="322">
        <f>5факторов!B4/(5факторов!B5+5факторов!B6+5факторов!B7+5факторов!B8+5факторов!B9)</f>
        <v>0.2515946786784494</v>
      </c>
      <c r="D22" s="109">
        <f t="shared" si="4"/>
        <v>0.8767527523800973</v>
      </c>
      <c r="E22" s="111">
        <f t="shared" si="3"/>
        <v>-12.324724761990268</v>
      </c>
    </row>
    <row r="23" spans="1:5" ht="12.75">
      <c r="A23" s="87" t="s">
        <v>719</v>
      </c>
      <c r="B23" s="280">
        <f>5факторов!E4</f>
        <v>65747</v>
      </c>
      <c r="C23" s="280">
        <f>5факторов!B4</f>
        <v>65909</v>
      </c>
      <c r="D23" s="109">
        <f t="shared" si="4"/>
        <v>1.0024639907524298</v>
      </c>
      <c r="E23" s="111">
        <f t="shared" si="3"/>
        <v>0.24639907524297655</v>
      </c>
    </row>
  </sheetData>
  <sheetProtection/>
  <mergeCells count="10">
    <mergeCell ref="G3:G4"/>
    <mergeCell ref="C3:C4"/>
    <mergeCell ref="A14:E14"/>
    <mergeCell ref="A11:E11"/>
    <mergeCell ref="A12:E12"/>
    <mergeCell ref="A1:F1"/>
    <mergeCell ref="A3:A4"/>
    <mergeCell ref="B3:B4"/>
    <mergeCell ref="D3:D4"/>
    <mergeCell ref="E3:F3"/>
  </mergeCell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130"/>
  <sheetViews>
    <sheetView zoomScalePageLayoutView="0" workbookViewId="0" topLeftCell="A22">
      <selection activeCell="C42" sqref="C42"/>
    </sheetView>
  </sheetViews>
  <sheetFormatPr defaultColWidth="9.00390625" defaultRowHeight="12.75"/>
  <cols>
    <col min="1" max="1" width="5.00390625" style="0" customWidth="1"/>
    <col min="2" max="2" width="44.125" style="342" customWidth="1"/>
    <col min="4" max="4" width="11.125" style="0" customWidth="1"/>
    <col min="5" max="5" width="11.25390625" style="0" customWidth="1"/>
  </cols>
  <sheetData>
    <row r="1" spans="1:3" ht="34.5" customHeight="1">
      <c r="A1" s="330" t="s">
        <v>110</v>
      </c>
      <c r="B1" s="330" t="s">
        <v>111</v>
      </c>
      <c r="C1" s="330" t="s">
        <v>112</v>
      </c>
    </row>
    <row r="2" spans="1:3" ht="25.5" customHeight="1">
      <c r="A2" s="347">
        <v>1</v>
      </c>
      <c r="B2" s="348" t="s">
        <v>113</v>
      </c>
      <c r="C2" s="349">
        <v>60000</v>
      </c>
    </row>
    <row r="3" spans="1:3" ht="25.5">
      <c r="A3" s="347">
        <v>2</v>
      </c>
      <c r="B3" s="348" t="s">
        <v>114</v>
      </c>
      <c r="C3" s="349">
        <f>C2*18/100</f>
        <v>10800</v>
      </c>
    </row>
    <row r="4" spans="1:3" ht="25.5">
      <c r="A4" s="347">
        <v>3</v>
      </c>
      <c r="B4" s="348" t="s">
        <v>115</v>
      </c>
      <c r="C4" s="349">
        <v>80000</v>
      </c>
    </row>
    <row r="5" spans="1:3" ht="25.5">
      <c r="A5" s="347">
        <v>4</v>
      </c>
      <c r="B5" s="348" t="s">
        <v>116</v>
      </c>
      <c r="C5" s="349">
        <v>28000</v>
      </c>
    </row>
    <row r="6" spans="1:3" ht="27" customHeight="1">
      <c r="A6" s="347">
        <v>5</v>
      </c>
      <c r="B6" s="348" t="s">
        <v>117</v>
      </c>
      <c r="C6" s="349">
        <v>28000</v>
      </c>
    </row>
    <row r="7" spans="1:3" ht="27" customHeight="1">
      <c r="A7" s="347">
        <v>6</v>
      </c>
      <c r="B7" s="348" t="s">
        <v>118</v>
      </c>
      <c r="C7" s="349">
        <v>10000</v>
      </c>
    </row>
    <row r="8" spans="1:3" ht="25.5">
      <c r="A8" s="347">
        <v>7</v>
      </c>
      <c r="B8" s="348" t="s">
        <v>119</v>
      </c>
      <c r="C8" s="349">
        <v>50000</v>
      </c>
    </row>
    <row r="9" spans="1:3" ht="25.5">
      <c r="A9" s="347">
        <v>8</v>
      </c>
      <c r="B9" s="348" t="s">
        <v>120</v>
      </c>
      <c r="C9" s="349">
        <v>30000</v>
      </c>
    </row>
    <row r="10" spans="1:3" ht="25.5">
      <c r="A10" s="347">
        <v>9</v>
      </c>
      <c r="B10" s="348" t="s">
        <v>121</v>
      </c>
      <c r="C10" s="349">
        <v>20000</v>
      </c>
    </row>
    <row r="11" spans="1:3" ht="27" customHeight="1">
      <c r="A11" s="347">
        <v>10</v>
      </c>
      <c r="B11" s="348" t="s">
        <v>122</v>
      </c>
      <c r="C11" s="349">
        <f>C8*0.26</f>
        <v>13000</v>
      </c>
    </row>
    <row r="12" spans="1:3" ht="27" customHeight="1">
      <c r="A12" s="347">
        <v>11</v>
      </c>
      <c r="B12" s="348" t="s">
        <v>123</v>
      </c>
      <c r="C12" s="349">
        <f>C9*0.26</f>
        <v>7800</v>
      </c>
    </row>
    <row r="13" spans="1:3" ht="27" customHeight="1">
      <c r="A13" s="347">
        <v>12</v>
      </c>
      <c r="B13" s="348" t="s">
        <v>124</v>
      </c>
      <c r="C13" s="349">
        <f>C10*0.26</f>
        <v>5200</v>
      </c>
    </row>
    <row r="14" spans="1:3" ht="15" customHeight="1">
      <c r="A14" s="347">
        <v>13</v>
      </c>
      <c r="B14" s="348" t="s">
        <v>125</v>
      </c>
      <c r="C14" s="349">
        <f>C8*0.13</f>
        <v>6500</v>
      </c>
    </row>
    <row r="15" spans="1:3" ht="26.25" customHeight="1">
      <c r="A15" s="347">
        <v>14</v>
      </c>
      <c r="B15" s="348" t="s">
        <v>126</v>
      </c>
      <c r="C15" s="349">
        <f>C16</f>
        <v>50000</v>
      </c>
    </row>
    <row r="16" spans="1:3" ht="28.5" customHeight="1">
      <c r="A16" s="347">
        <v>15</v>
      </c>
      <c r="B16" s="348" t="s">
        <v>127</v>
      </c>
      <c r="C16" s="349">
        <v>50000</v>
      </c>
    </row>
    <row r="17" spans="1:3" ht="26.25" customHeight="1">
      <c r="A17" s="347">
        <v>16</v>
      </c>
      <c r="B17" s="348" t="s">
        <v>128</v>
      </c>
      <c r="C17" s="349">
        <v>10000</v>
      </c>
    </row>
    <row r="18" spans="1:3" ht="26.25" customHeight="1">
      <c r="A18" s="347">
        <v>17</v>
      </c>
      <c r="B18" s="348" t="s">
        <v>129</v>
      </c>
      <c r="C18" s="349">
        <v>2200</v>
      </c>
    </row>
    <row r="19" spans="1:3" ht="39" customHeight="1">
      <c r="A19" s="347">
        <v>18</v>
      </c>
      <c r="B19" s="348" t="s">
        <v>130</v>
      </c>
      <c r="C19" s="349">
        <v>300</v>
      </c>
    </row>
    <row r="20" spans="1:3" ht="25.5">
      <c r="A20" s="347">
        <v>19</v>
      </c>
      <c r="B20" s="346" t="s">
        <v>131</v>
      </c>
      <c r="C20" s="349">
        <v>1000</v>
      </c>
    </row>
    <row r="21" spans="1:3" ht="25.5">
      <c r="A21" s="347">
        <v>20</v>
      </c>
      <c r="B21" s="346" t="s">
        <v>132</v>
      </c>
      <c r="C21" s="349">
        <f>C6+C9++C12+C18</f>
        <v>68000</v>
      </c>
    </row>
    <row r="22" spans="1:3" ht="25.5">
      <c r="A22" s="347">
        <v>21</v>
      </c>
      <c r="B22" s="346" t="s">
        <v>133</v>
      </c>
      <c r="C22" s="349">
        <f>C7+C10++C13+C19+C20</f>
        <v>36500</v>
      </c>
    </row>
    <row r="23" spans="1:3" ht="15.75" customHeight="1">
      <c r="A23" s="347">
        <v>22</v>
      </c>
      <c r="B23" s="346" t="s">
        <v>134</v>
      </c>
      <c r="C23" s="349">
        <v>150000</v>
      </c>
    </row>
    <row r="24" spans="1:3" ht="15.75" customHeight="1">
      <c r="A24" s="347">
        <v>23</v>
      </c>
      <c r="B24" s="346" t="s">
        <v>135</v>
      </c>
      <c r="C24" s="349">
        <v>236000</v>
      </c>
    </row>
    <row r="25" spans="1:3" ht="14.25" customHeight="1">
      <c r="A25" s="347">
        <v>24</v>
      </c>
      <c r="B25" s="346" t="s">
        <v>136</v>
      </c>
      <c r="C25" s="349">
        <f>C24*18/118</f>
        <v>36000</v>
      </c>
    </row>
    <row r="26" spans="1:3" ht="25.5">
      <c r="A26" s="347">
        <v>25</v>
      </c>
      <c r="B26" s="346" t="s">
        <v>137</v>
      </c>
      <c r="C26" s="349">
        <v>140000</v>
      </c>
    </row>
    <row r="27" spans="1:3" ht="27" customHeight="1">
      <c r="A27" s="347">
        <v>26</v>
      </c>
      <c r="B27" s="346" t="s">
        <v>140</v>
      </c>
      <c r="C27" s="349">
        <v>10000</v>
      </c>
    </row>
    <row r="28" spans="1:3" ht="25.5" customHeight="1">
      <c r="A28" s="347">
        <v>27</v>
      </c>
      <c r="B28" s="346" t="s">
        <v>141</v>
      </c>
      <c r="C28" s="349">
        <v>10000</v>
      </c>
    </row>
    <row r="29" spans="1:3" ht="26.25" customHeight="1">
      <c r="A29" s="347">
        <v>28</v>
      </c>
      <c r="B29" s="346" t="s">
        <v>142</v>
      </c>
      <c r="C29" s="349">
        <f>C24-C25-C26-C28-C22</f>
        <v>13500</v>
      </c>
    </row>
    <row r="30" spans="1:3" ht="15.75" customHeight="1">
      <c r="A30" s="347">
        <v>29</v>
      </c>
      <c r="B30" s="346" t="s">
        <v>143</v>
      </c>
      <c r="C30" s="349">
        <f>C29*0.24</f>
        <v>3240</v>
      </c>
    </row>
    <row r="31" spans="1:3" ht="25.5">
      <c r="A31" s="347">
        <v>30</v>
      </c>
      <c r="B31" s="346" t="s">
        <v>144</v>
      </c>
      <c r="C31" s="349">
        <v>240000</v>
      </c>
    </row>
    <row r="32" spans="1:3" ht="26.25" customHeight="1">
      <c r="A32" s="347">
        <v>31</v>
      </c>
      <c r="B32" s="346" t="s">
        <v>145</v>
      </c>
      <c r="C32" s="349">
        <v>50000</v>
      </c>
    </row>
    <row r="33" spans="1:3" ht="27.75" customHeight="1">
      <c r="A33" s="347">
        <v>32</v>
      </c>
      <c r="B33" s="346" t="s">
        <v>146</v>
      </c>
      <c r="C33" s="349">
        <v>30000</v>
      </c>
    </row>
    <row r="34" spans="1:3" ht="19.5" customHeight="1">
      <c r="A34" s="753" t="s">
        <v>147</v>
      </c>
      <c r="B34" s="753"/>
      <c r="C34" s="347">
        <f>SUM(C2:C33)</f>
        <v>1486040</v>
      </c>
    </row>
    <row r="35" ht="12.75"/>
    <row r="36" ht="12.75"/>
    <row r="37" spans="1:8" ht="26.25" customHeight="1">
      <c r="A37" s="750" t="s">
        <v>148</v>
      </c>
      <c r="B37" s="751"/>
      <c r="C37" s="751"/>
      <c r="D37" s="751"/>
      <c r="E37" s="751"/>
      <c r="F37" s="751"/>
      <c r="G37" s="751"/>
      <c r="H37" s="754"/>
    </row>
    <row r="38" spans="1:8" ht="21" customHeight="1">
      <c r="A38" s="755" t="s">
        <v>149</v>
      </c>
      <c r="B38" s="755" t="s">
        <v>150</v>
      </c>
      <c r="C38" s="757" t="s">
        <v>151</v>
      </c>
      <c r="D38" s="758"/>
      <c r="E38" s="757" t="s">
        <v>152</v>
      </c>
      <c r="F38" s="758"/>
      <c r="G38" s="757" t="s">
        <v>153</v>
      </c>
      <c r="H38" s="758"/>
    </row>
    <row r="39" spans="1:8" ht="21" customHeight="1">
      <c r="A39" s="756"/>
      <c r="B39" s="756"/>
      <c r="C39" s="330" t="s">
        <v>154</v>
      </c>
      <c r="D39" s="330" t="s">
        <v>155</v>
      </c>
      <c r="E39" s="330" t="s">
        <v>154</v>
      </c>
      <c r="F39" s="330" t="s">
        <v>155</v>
      </c>
      <c r="G39" s="330" t="s">
        <v>154</v>
      </c>
      <c r="H39" s="330" t="s">
        <v>155</v>
      </c>
    </row>
    <row r="40" spans="1:8" ht="12.75">
      <c r="A40" s="350" t="s">
        <v>156</v>
      </c>
      <c r="B40" s="346" t="s">
        <v>328</v>
      </c>
      <c r="C40" s="345">
        <f>Данные!F51</f>
        <v>115915</v>
      </c>
      <c r="D40" s="345"/>
      <c r="E40" s="345"/>
      <c r="F40" s="345"/>
      <c r="G40" s="345">
        <f>C40+E40-F40</f>
        <v>115915</v>
      </c>
      <c r="H40" s="345"/>
    </row>
    <row r="41" spans="1:8" ht="12.75">
      <c r="A41" s="350" t="s">
        <v>157</v>
      </c>
      <c r="B41" s="346" t="s">
        <v>158</v>
      </c>
      <c r="C41" s="345"/>
      <c r="D41" s="345">
        <f>C40-Данные!F7</f>
        <v>62863</v>
      </c>
      <c r="E41" s="345"/>
      <c r="F41" s="345">
        <f>C17+C18+C19</f>
        <v>12500</v>
      </c>
      <c r="G41" s="345"/>
      <c r="H41" s="345">
        <f>D41+F41-E41</f>
        <v>75363</v>
      </c>
    </row>
    <row r="42" spans="1:8" ht="12.75">
      <c r="A42" s="350" t="s">
        <v>159</v>
      </c>
      <c r="B42" s="346" t="s">
        <v>327</v>
      </c>
      <c r="C42" s="345">
        <v>8000</v>
      </c>
      <c r="D42" s="345"/>
      <c r="E42" s="345"/>
      <c r="F42" s="345"/>
      <c r="G42" s="345">
        <f>C42+E42-F42</f>
        <v>8000</v>
      </c>
      <c r="H42" s="345"/>
    </row>
    <row r="43" spans="1:8" ht="12.75">
      <c r="A43" s="350" t="s">
        <v>160</v>
      </c>
      <c r="B43" s="346" t="s">
        <v>161</v>
      </c>
      <c r="C43" s="345"/>
      <c r="D43" s="345">
        <v>1017</v>
      </c>
      <c r="E43" s="345"/>
      <c r="F43" s="345">
        <f>C20</f>
        <v>1000</v>
      </c>
      <c r="G43" s="345"/>
      <c r="H43" s="345">
        <f>D43+F43-E43</f>
        <v>2017</v>
      </c>
    </row>
    <row r="44" spans="1:8" ht="12.75">
      <c r="A44" s="350" t="s">
        <v>162</v>
      </c>
      <c r="B44" s="346" t="s">
        <v>163</v>
      </c>
      <c r="C44" s="345">
        <f>Данные!F8</f>
        <v>0</v>
      </c>
      <c r="D44" s="345"/>
      <c r="E44" s="345"/>
      <c r="F44" s="345"/>
      <c r="G44" s="345">
        <f aca="true" t="shared" si="0" ref="G44:G58">C44+E44-F44</f>
        <v>0</v>
      </c>
      <c r="H44" s="345"/>
    </row>
    <row r="45" spans="1:8" ht="12.75">
      <c r="A45" s="350" t="s">
        <v>164</v>
      </c>
      <c r="B45" s="346" t="s">
        <v>792</v>
      </c>
      <c r="C45" s="345">
        <f>Данные!F11</f>
        <v>0</v>
      </c>
      <c r="D45" s="345"/>
      <c r="E45" s="345"/>
      <c r="F45" s="345"/>
      <c r="G45" s="345">
        <f t="shared" si="0"/>
        <v>0</v>
      </c>
      <c r="H45" s="345"/>
    </row>
    <row r="46" spans="1:8" ht="12.75">
      <c r="A46" s="350" t="s">
        <v>165</v>
      </c>
      <c r="B46" s="346" t="s">
        <v>166</v>
      </c>
      <c r="C46" s="345">
        <f>Данные!F16</f>
        <v>27157</v>
      </c>
      <c r="D46" s="345"/>
      <c r="E46" s="345">
        <f>C2</f>
        <v>60000</v>
      </c>
      <c r="F46" s="345">
        <f>C5+C6+C7</f>
        <v>66000</v>
      </c>
      <c r="G46" s="345">
        <f t="shared" si="0"/>
        <v>21157</v>
      </c>
      <c r="H46" s="345"/>
    </row>
    <row r="47" spans="1:8" ht="12.75">
      <c r="A47" s="350" t="s">
        <v>167</v>
      </c>
      <c r="B47" s="346" t="s">
        <v>335</v>
      </c>
      <c r="C47" s="345">
        <f>Данные!F23</f>
        <v>0</v>
      </c>
      <c r="D47" s="345"/>
      <c r="E47" s="345">
        <f>C3</f>
        <v>10800</v>
      </c>
      <c r="F47" s="345"/>
      <c r="G47" s="345">
        <f t="shared" si="0"/>
        <v>10800</v>
      </c>
      <c r="H47" s="345"/>
    </row>
    <row r="48" spans="1:8" ht="12.75">
      <c r="A48" s="350" t="s">
        <v>168</v>
      </c>
      <c r="B48" s="346" t="s">
        <v>169</v>
      </c>
      <c r="C48" s="345">
        <f>Данные!F18</f>
        <v>4862</v>
      </c>
      <c r="D48" s="345"/>
      <c r="E48" s="345">
        <f>C5+C8+C11+C17+C21</f>
        <v>169000</v>
      </c>
      <c r="F48" s="345">
        <f>C23</f>
        <v>150000</v>
      </c>
      <c r="G48" s="345">
        <f t="shared" si="0"/>
        <v>23862</v>
      </c>
      <c r="H48" s="345"/>
    </row>
    <row r="49" spans="1:8" ht="12.75">
      <c r="A49" s="350" t="s">
        <v>170</v>
      </c>
      <c r="B49" s="346" t="s">
        <v>171</v>
      </c>
      <c r="C49" s="345"/>
      <c r="D49" s="345"/>
      <c r="E49" s="345">
        <f>C6+C9+C12+C18</f>
        <v>68000</v>
      </c>
      <c r="F49" s="345">
        <f>C21</f>
        <v>68000</v>
      </c>
      <c r="G49" s="345">
        <f t="shared" si="0"/>
        <v>0</v>
      </c>
      <c r="H49" s="345"/>
    </row>
    <row r="50" spans="1:8" ht="12.75">
      <c r="A50" s="350" t="s">
        <v>172</v>
      </c>
      <c r="B50" s="346" t="s">
        <v>173</v>
      </c>
      <c r="C50" s="345"/>
      <c r="D50" s="345"/>
      <c r="E50" s="345">
        <f>C7+C10+C13+C19+C20</f>
        <v>36500</v>
      </c>
      <c r="F50" s="345">
        <f>C22</f>
        <v>36500</v>
      </c>
      <c r="G50" s="345">
        <f t="shared" si="0"/>
        <v>0</v>
      </c>
      <c r="H50" s="345"/>
    </row>
    <row r="51" spans="1:8" ht="12.75">
      <c r="A51" s="350" t="s">
        <v>174</v>
      </c>
      <c r="B51" s="346" t="s">
        <v>175</v>
      </c>
      <c r="C51" s="345">
        <f>Данные!F19</f>
        <v>26504</v>
      </c>
      <c r="D51" s="345"/>
      <c r="E51" s="345">
        <f>C23</f>
        <v>150000</v>
      </c>
      <c r="F51" s="345">
        <f>C26</f>
        <v>140000</v>
      </c>
      <c r="G51" s="345">
        <f t="shared" si="0"/>
        <v>36504</v>
      </c>
      <c r="H51" s="345"/>
    </row>
    <row r="52" spans="1:8" ht="12.75">
      <c r="A52" s="350" t="s">
        <v>176</v>
      </c>
      <c r="B52" s="346" t="s">
        <v>177</v>
      </c>
      <c r="C52" s="345"/>
      <c r="D52" s="345"/>
      <c r="E52" s="345">
        <f>C27</f>
        <v>10000</v>
      </c>
      <c r="F52" s="345">
        <f>C28</f>
        <v>10000</v>
      </c>
      <c r="G52" s="345">
        <f t="shared" si="0"/>
        <v>0</v>
      </c>
      <c r="H52" s="345"/>
    </row>
    <row r="53" spans="1:8" ht="12.75">
      <c r="A53" s="350" t="s">
        <v>178</v>
      </c>
      <c r="B53" s="346" t="s">
        <v>344</v>
      </c>
      <c r="C53" s="345">
        <f>Данные!F20</f>
        <v>0</v>
      </c>
      <c r="D53" s="345"/>
      <c r="E53" s="345"/>
      <c r="F53" s="345"/>
      <c r="G53" s="345">
        <f t="shared" si="0"/>
        <v>0</v>
      </c>
      <c r="H53" s="345"/>
    </row>
    <row r="54" spans="1:8" ht="12.75">
      <c r="A54" s="350" t="s">
        <v>179</v>
      </c>
      <c r="B54" s="346" t="s">
        <v>180</v>
      </c>
      <c r="C54" s="345">
        <f>Данные!F42</f>
        <v>0</v>
      </c>
      <c r="D54" s="345"/>
      <c r="E54" s="345">
        <f>C15</f>
        <v>50000</v>
      </c>
      <c r="F54" s="345">
        <f>C16</f>
        <v>50000</v>
      </c>
      <c r="G54" s="345">
        <f t="shared" si="0"/>
        <v>0</v>
      </c>
      <c r="H54" s="345"/>
    </row>
    <row r="55" spans="1:8" ht="12.75">
      <c r="A55" s="350" t="s">
        <v>181</v>
      </c>
      <c r="B55" s="346" t="s">
        <v>182</v>
      </c>
      <c r="C55" s="345">
        <f>Данные!F43</f>
        <v>530</v>
      </c>
      <c r="D55" s="345"/>
      <c r="E55" s="345">
        <f>C31</f>
        <v>240000</v>
      </c>
      <c r="F55" s="345">
        <f>C32+C33+C4+C15</f>
        <v>210000</v>
      </c>
      <c r="G55" s="345">
        <f t="shared" si="0"/>
        <v>30530</v>
      </c>
      <c r="H55" s="345"/>
    </row>
    <row r="56" spans="1:8" ht="12.75">
      <c r="A56" s="350" t="s">
        <v>183</v>
      </c>
      <c r="B56" s="346" t="s">
        <v>184</v>
      </c>
      <c r="C56" s="345">
        <f>Данные!F44</f>
        <v>0</v>
      </c>
      <c r="D56" s="345"/>
      <c r="E56" s="345"/>
      <c r="F56" s="345"/>
      <c r="G56" s="345">
        <f t="shared" si="0"/>
        <v>0</v>
      </c>
      <c r="H56" s="345"/>
    </row>
    <row r="57" spans="1:8" ht="12.75">
      <c r="A57" s="350" t="s">
        <v>185</v>
      </c>
      <c r="B57" s="346" t="s">
        <v>337</v>
      </c>
      <c r="C57" s="345">
        <f>Данные!F37</f>
        <v>0</v>
      </c>
      <c r="D57" s="345"/>
      <c r="E57" s="345"/>
      <c r="F57" s="345"/>
      <c r="G57" s="345">
        <f t="shared" si="0"/>
        <v>0</v>
      </c>
      <c r="H57" s="345"/>
    </row>
    <row r="58" spans="1:8" ht="12.75">
      <c r="A58" s="350" t="s">
        <v>186</v>
      </c>
      <c r="B58" s="346" t="s">
        <v>331</v>
      </c>
      <c r="C58" s="345">
        <f>Данные!F10</f>
        <v>2</v>
      </c>
      <c r="D58" s="345"/>
      <c r="E58" s="345"/>
      <c r="F58" s="345"/>
      <c r="G58" s="345">
        <f t="shared" si="0"/>
        <v>2</v>
      </c>
      <c r="H58" s="345"/>
    </row>
    <row r="59" spans="1:8" ht="12.75">
      <c r="A59" s="350" t="s">
        <v>187</v>
      </c>
      <c r="B59" s="346" t="s">
        <v>188</v>
      </c>
      <c r="D59" s="345">
        <f>Данные!F94</f>
        <v>7337</v>
      </c>
      <c r="E59" s="345">
        <f>C4</f>
        <v>80000</v>
      </c>
      <c r="F59" s="345">
        <f>C2+C3</f>
        <v>70800</v>
      </c>
      <c r="G59" s="345"/>
      <c r="H59" s="345">
        <f>D59+F59-E59</f>
        <v>-1863</v>
      </c>
    </row>
    <row r="60" spans="1:8" ht="25.5">
      <c r="A60" s="350" t="s">
        <v>189</v>
      </c>
      <c r="B60" s="346" t="s">
        <v>190</v>
      </c>
      <c r="C60" s="345">
        <f>Данные!F24</f>
        <v>0</v>
      </c>
      <c r="D60" s="345"/>
      <c r="E60" s="345"/>
      <c r="F60" s="345"/>
      <c r="G60" s="345">
        <f>C60+E60-F60</f>
        <v>0</v>
      </c>
      <c r="H60" s="345"/>
    </row>
    <row r="61" spans="1:8" ht="25.5">
      <c r="A61" s="350" t="s">
        <v>191</v>
      </c>
      <c r="B61" s="346" t="s">
        <v>192</v>
      </c>
      <c r="C61" s="345">
        <f>Данные!F30</f>
        <v>13844</v>
      </c>
      <c r="D61" s="345"/>
      <c r="E61" s="345">
        <f>C24</f>
        <v>236000</v>
      </c>
      <c r="F61" s="345">
        <f>C31</f>
        <v>240000</v>
      </c>
      <c r="G61" s="345">
        <f>C61+E61-F61</f>
        <v>9844</v>
      </c>
      <c r="H61" s="345"/>
    </row>
    <row r="62" spans="1:8" ht="12.75">
      <c r="A62" s="350" t="s">
        <v>193</v>
      </c>
      <c r="B62" s="346" t="s">
        <v>194</v>
      </c>
      <c r="C62" s="345"/>
      <c r="D62" s="345">
        <f>Данные!F90</f>
        <v>16327</v>
      </c>
      <c r="E62" s="345"/>
      <c r="F62" s="345"/>
      <c r="G62" s="345"/>
      <c r="H62" s="345">
        <f aca="true" t="shared" si="1" ref="H62:H74">D62+F62-E62</f>
        <v>16327</v>
      </c>
    </row>
    <row r="63" spans="1:8" ht="12.75">
      <c r="A63" s="350" t="s">
        <v>195</v>
      </c>
      <c r="B63" s="346" t="s">
        <v>196</v>
      </c>
      <c r="C63" s="345"/>
      <c r="D63" s="345">
        <f>Данные!F83</f>
        <v>306</v>
      </c>
      <c r="E63" s="345"/>
      <c r="F63" s="345"/>
      <c r="G63" s="345"/>
      <c r="H63" s="345">
        <f t="shared" si="1"/>
        <v>306</v>
      </c>
    </row>
    <row r="64" spans="1:8" ht="12.75">
      <c r="A64" s="350" t="s">
        <v>197</v>
      </c>
      <c r="B64" s="346" t="s">
        <v>198</v>
      </c>
      <c r="C64" s="345"/>
      <c r="D64" s="345">
        <f>Данные!F99</f>
        <v>0</v>
      </c>
      <c r="E64" s="345">
        <f>C32</f>
        <v>50000</v>
      </c>
      <c r="F64" s="345">
        <f>C30+C25+C14</f>
        <v>45740</v>
      </c>
      <c r="G64" s="345"/>
      <c r="H64" s="345">
        <f t="shared" si="1"/>
        <v>-4260</v>
      </c>
    </row>
    <row r="65" spans="1:8" ht="25.5">
      <c r="A65" s="350" t="s">
        <v>199</v>
      </c>
      <c r="B65" s="346" t="s">
        <v>200</v>
      </c>
      <c r="C65" s="345"/>
      <c r="D65" s="345">
        <f>Данные!F98</f>
        <v>7</v>
      </c>
      <c r="E65" s="345">
        <f>C33</f>
        <v>30000</v>
      </c>
      <c r="F65" s="345">
        <f>C11+C12+C13</f>
        <v>26000</v>
      </c>
      <c r="G65" s="345"/>
      <c r="H65" s="345">
        <f t="shared" si="1"/>
        <v>-3993</v>
      </c>
    </row>
    <row r="66" spans="1:8" ht="12.75">
      <c r="A66" s="350" t="s">
        <v>201</v>
      </c>
      <c r="B66" s="346" t="s">
        <v>202</v>
      </c>
      <c r="C66" s="345"/>
      <c r="D66" s="345">
        <f>Данные!F97</f>
        <v>673</v>
      </c>
      <c r="E66" s="345">
        <f>C14+C16</f>
        <v>56500</v>
      </c>
      <c r="F66" s="345">
        <f>C9+C10+C8</f>
        <v>100000</v>
      </c>
      <c r="G66" s="345"/>
      <c r="H66" s="345">
        <f t="shared" si="1"/>
        <v>44173</v>
      </c>
    </row>
    <row r="67" spans="1:8" ht="12.75">
      <c r="A67" s="350" t="s">
        <v>203</v>
      </c>
      <c r="B67" s="346" t="s">
        <v>204</v>
      </c>
      <c r="C67" s="345"/>
      <c r="D67" s="345">
        <f>Данные!F102</f>
        <v>0</v>
      </c>
      <c r="E67" s="345"/>
      <c r="F67" s="345"/>
      <c r="G67" s="345"/>
      <c r="H67" s="345">
        <f t="shared" si="1"/>
        <v>0</v>
      </c>
    </row>
    <row r="68" spans="1:8" ht="12.75">
      <c r="A68" s="350" t="s">
        <v>205</v>
      </c>
      <c r="B68" s="346" t="s">
        <v>206</v>
      </c>
      <c r="C68" s="345"/>
      <c r="D68" s="345">
        <v>718067</v>
      </c>
      <c r="E68" s="345"/>
      <c r="F68" s="345">
        <f>C27</f>
        <v>10000</v>
      </c>
      <c r="G68" s="345"/>
      <c r="H68" s="345">
        <f t="shared" si="1"/>
        <v>728067</v>
      </c>
    </row>
    <row r="69" spans="1:8" ht="12.75">
      <c r="A69" s="350" t="s">
        <v>207</v>
      </c>
      <c r="B69" s="346" t="s">
        <v>786</v>
      </c>
      <c r="C69" s="345"/>
      <c r="D69" s="345">
        <f>Данные!F86</f>
        <v>1714</v>
      </c>
      <c r="E69" s="345"/>
      <c r="F69" s="345"/>
      <c r="G69" s="345"/>
      <c r="H69" s="345">
        <f t="shared" si="1"/>
        <v>1714</v>
      </c>
    </row>
    <row r="70" spans="1:8" ht="12.75">
      <c r="A70" s="350" t="s">
        <v>208</v>
      </c>
      <c r="B70" s="346" t="s">
        <v>363</v>
      </c>
      <c r="C70" s="345"/>
      <c r="D70" s="345">
        <f>Данные!F69</f>
        <v>21800</v>
      </c>
      <c r="E70" s="345"/>
      <c r="F70" s="345"/>
      <c r="G70" s="345"/>
      <c r="H70" s="345">
        <f t="shared" si="1"/>
        <v>21800</v>
      </c>
    </row>
    <row r="71" spans="1:8" ht="12.75">
      <c r="A71" s="350" t="s">
        <v>209</v>
      </c>
      <c r="B71" s="346" t="s">
        <v>365</v>
      </c>
      <c r="C71" s="345"/>
      <c r="D71" s="345">
        <f>Данные!F72</f>
        <v>0</v>
      </c>
      <c r="E71" s="345"/>
      <c r="F71" s="345"/>
      <c r="G71" s="345"/>
      <c r="H71" s="345">
        <f t="shared" si="1"/>
        <v>0</v>
      </c>
    </row>
    <row r="72" spans="1:8" ht="12.75">
      <c r="A72" s="350" t="s">
        <v>210</v>
      </c>
      <c r="B72" s="346" t="s">
        <v>364</v>
      </c>
      <c r="C72" s="345"/>
      <c r="D72" s="345">
        <f>Данные!F71</f>
        <v>9285</v>
      </c>
      <c r="E72" s="345"/>
      <c r="F72" s="345"/>
      <c r="G72" s="345"/>
      <c r="H72" s="345">
        <f t="shared" si="1"/>
        <v>9285</v>
      </c>
    </row>
    <row r="73" spans="1:8" ht="13.5" customHeight="1">
      <c r="A73" s="350" t="s">
        <v>211</v>
      </c>
      <c r="B73" s="346" t="s">
        <v>367</v>
      </c>
      <c r="C73" s="345"/>
      <c r="D73" s="345" t="e">
        <f>Данные!#REF!</f>
        <v>#REF!</v>
      </c>
      <c r="E73" s="345"/>
      <c r="F73" s="345"/>
      <c r="G73" s="345"/>
      <c r="H73" s="345" t="e">
        <f t="shared" si="1"/>
        <v>#REF!</v>
      </c>
    </row>
    <row r="74" spans="1:8" ht="13.5" customHeight="1">
      <c r="A74" s="350" t="s">
        <v>212</v>
      </c>
      <c r="B74" s="345" t="s">
        <v>213</v>
      </c>
      <c r="C74" s="345"/>
      <c r="D74" s="345"/>
      <c r="E74" s="345"/>
      <c r="F74" s="345">
        <f>C24</f>
        <v>236000</v>
      </c>
      <c r="G74" s="345"/>
      <c r="H74" s="345">
        <f t="shared" si="1"/>
        <v>236000</v>
      </c>
    </row>
    <row r="75" spans="1:8" ht="13.5" customHeight="1">
      <c r="A75" s="350" t="s">
        <v>214</v>
      </c>
      <c r="B75" s="345" t="s">
        <v>215</v>
      </c>
      <c r="C75" s="345"/>
      <c r="D75" s="345"/>
      <c r="E75" s="345">
        <f>C28+C26+C22</f>
        <v>186500</v>
      </c>
      <c r="F75" s="345"/>
      <c r="G75" s="345">
        <f>C75+E75-F75</f>
        <v>186500</v>
      </c>
      <c r="H75" s="345"/>
    </row>
    <row r="76" spans="1:8" ht="13.5" customHeight="1">
      <c r="A76" s="350" t="s">
        <v>216</v>
      </c>
      <c r="B76" s="345" t="s">
        <v>217</v>
      </c>
      <c r="C76" s="345"/>
      <c r="D76" s="345"/>
      <c r="E76" s="345">
        <f>C25</f>
        <v>36000</v>
      </c>
      <c r="F76" s="345"/>
      <c r="G76" s="345">
        <f>C76+E76-F76</f>
        <v>36000</v>
      </c>
      <c r="H76" s="345"/>
    </row>
    <row r="77" spans="1:8" ht="12.75">
      <c r="A77" s="350" t="s">
        <v>218</v>
      </c>
      <c r="B77" s="345" t="s">
        <v>219</v>
      </c>
      <c r="C77" s="345"/>
      <c r="D77" s="345"/>
      <c r="E77" s="345">
        <f>C29</f>
        <v>13500</v>
      </c>
      <c r="F77" s="345"/>
      <c r="G77" s="345">
        <f>C77+E77-F77</f>
        <v>13500</v>
      </c>
      <c r="H77" s="345"/>
    </row>
    <row r="78" spans="1:8" ht="12.75">
      <c r="A78" s="350" t="s">
        <v>220</v>
      </c>
      <c r="B78" s="346" t="s">
        <v>345</v>
      </c>
      <c r="C78" s="345">
        <f>Данные!F21</f>
        <v>0</v>
      </c>
      <c r="D78" s="345"/>
      <c r="E78" s="345"/>
      <c r="F78" s="345"/>
      <c r="G78" s="345">
        <f>C78+E78-F78</f>
        <v>0</v>
      </c>
      <c r="H78" s="345"/>
    </row>
    <row r="79" spans="1:8" ht="12.75">
      <c r="A79" s="350" t="s">
        <v>221</v>
      </c>
      <c r="B79" s="346" t="s">
        <v>368</v>
      </c>
      <c r="C79" s="345"/>
      <c r="D79" s="345">
        <f>Данные!F103</f>
        <v>0</v>
      </c>
      <c r="E79" s="345"/>
      <c r="F79" s="345"/>
      <c r="G79" s="345"/>
      <c r="H79" s="345">
        <f>D79+F79-E79</f>
        <v>0</v>
      </c>
    </row>
    <row r="80" spans="1:8" ht="12.75">
      <c r="A80" s="350" t="s">
        <v>222</v>
      </c>
      <c r="B80" s="346" t="s">
        <v>223</v>
      </c>
      <c r="C80" s="345"/>
      <c r="D80" s="345"/>
      <c r="E80" s="345">
        <f>C30</f>
        <v>3240</v>
      </c>
      <c r="F80" s="345">
        <f>C29</f>
        <v>13500</v>
      </c>
      <c r="G80" s="345"/>
      <c r="H80" s="345">
        <f>D80+F80-E80</f>
        <v>10260</v>
      </c>
    </row>
    <row r="81" spans="1:8" ht="12.75">
      <c r="A81" s="752" t="s">
        <v>147</v>
      </c>
      <c r="B81" s="752"/>
      <c r="C81" s="351">
        <f aca="true" t="shared" si="2" ref="C81:H81">SUM(C40:C80)</f>
        <v>196814</v>
      </c>
      <c r="D81" s="351" t="e">
        <f t="shared" si="2"/>
        <v>#REF!</v>
      </c>
      <c r="E81" s="351">
        <f t="shared" si="2"/>
        <v>1486040</v>
      </c>
      <c r="F81" s="351">
        <f t="shared" si="2"/>
        <v>1486040</v>
      </c>
      <c r="G81" s="351">
        <f t="shared" si="2"/>
        <v>492614</v>
      </c>
      <c r="H81" s="351" t="e">
        <f t="shared" si="2"/>
        <v>#REF!</v>
      </c>
    </row>
    <row r="83" spans="2:6" ht="31.5" customHeight="1">
      <c r="B83" s="750" t="s">
        <v>224</v>
      </c>
      <c r="C83" s="751"/>
      <c r="D83" s="751"/>
      <c r="E83" s="751"/>
      <c r="F83" s="751"/>
    </row>
    <row r="84" spans="2:4" ht="22.5">
      <c r="B84" s="330" t="s">
        <v>560</v>
      </c>
      <c r="C84" s="331">
        <v>38718</v>
      </c>
      <c r="D84" s="331">
        <v>38718</v>
      </c>
    </row>
    <row r="85" spans="2:4" ht="12.75">
      <c r="B85" s="352" t="s">
        <v>937</v>
      </c>
      <c r="C85" s="353"/>
      <c r="D85" s="354"/>
    </row>
    <row r="86" spans="2:4" ht="12.75">
      <c r="B86" s="326" t="s">
        <v>938</v>
      </c>
      <c r="C86" s="323">
        <f>АналитБал!E5</f>
        <v>53054</v>
      </c>
      <c r="D86" s="323">
        <f>SUM(D87,D88,D89,D90,D91)</f>
        <v>39554</v>
      </c>
    </row>
    <row r="87" spans="2:4" ht="22.5">
      <c r="B87" s="102" t="s">
        <v>797</v>
      </c>
      <c r="C87" s="323">
        <f>АналитБал!E6</f>
        <v>0</v>
      </c>
      <c r="D87" s="323">
        <f>C87-F43</f>
        <v>-1000</v>
      </c>
    </row>
    <row r="88" spans="2:4" ht="12.75">
      <c r="B88" s="102" t="s">
        <v>798</v>
      </c>
      <c r="C88" s="323">
        <f>АналитБал!E7</f>
        <v>53052</v>
      </c>
      <c r="D88" s="323">
        <f>C88-F41</f>
        <v>40552</v>
      </c>
    </row>
    <row r="89" spans="2:4" ht="12.75">
      <c r="B89" s="102" t="s">
        <v>850</v>
      </c>
      <c r="C89" s="323">
        <f>АналитБал!E8</f>
        <v>0</v>
      </c>
      <c r="D89" s="323">
        <f>C89+E44-F44</f>
        <v>0</v>
      </c>
    </row>
    <row r="90" spans="2:4" ht="12.75">
      <c r="B90" s="102" t="s">
        <v>854</v>
      </c>
      <c r="C90" s="323">
        <f>АналитБал!E9</f>
        <v>2</v>
      </c>
      <c r="D90" s="323">
        <f>C90+E58-F58</f>
        <v>2</v>
      </c>
    </row>
    <row r="91" spans="2:4" ht="12.75">
      <c r="B91" s="102" t="s">
        <v>855</v>
      </c>
      <c r="C91" s="323">
        <f>АналитБал!E10</f>
        <v>0</v>
      </c>
      <c r="D91" s="323">
        <f>C91+E60-F60</f>
        <v>0</v>
      </c>
    </row>
    <row r="92" spans="2:4" ht="12.75">
      <c r="B92" s="326" t="s">
        <v>939</v>
      </c>
      <c r="C92" s="323">
        <f>АналитБал!E11</f>
        <v>101998</v>
      </c>
      <c r="D92" s="323">
        <f>SUM(D93,D94,D95,D96)</f>
        <v>161798</v>
      </c>
    </row>
    <row r="93" spans="2:4" ht="33.75">
      <c r="B93" s="102" t="s">
        <v>558</v>
      </c>
      <c r="C93" s="323">
        <f>АналитБал!E12</f>
        <v>87624</v>
      </c>
      <c r="D93" s="323">
        <f>C93+E47+E48-F48+E51-F51-F53+E53-F52+E52+E79-F79+E46-F46</f>
        <v>121424</v>
      </c>
    </row>
    <row r="94" spans="2:4" ht="12.75">
      <c r="B94" s="102" t="s">
        <v>851</v>
      </c>
      <c r="C94" s="323">
        <f>АналитБал!E13</f>
        <v>13844</v>
      </c>
      <c r="D94" s="323">
        <f>C94+E61-F61</f>
        <v>9844</v>
      </c>
    </row>
    <row r="95" spans="2:4" ht="12.75">
      <c r="B95" s="102" t="s">
        <v>852</v>
      </c>
      <c r="C95" s="323">
        <f>АналитБал!E14</f>
        <v>0</v>
      </c>
      <c r="D95" s="323">
        <f>C95+E57-F57</f>
        <v>0</v>
      </c>
    </row>
    <row r="96" spans="2:4" ht="12.75">
      <c r="B96" s="102" t="s">
        <v>853</v>
      </c>
      <c r="C96" s="323">
        <f>АналитБал!E15</f>
        <v>530</v>
      </c>
      <c r="D96" s="323">
        <f>C96+E54+E55+E56-F54-F55-F56</f>
        <v>30530</v>
      </c>
    </row>
    <row r="97" spans="2:4" ht="12.75">
      <c r="B97" s="324" t="s">
        <v>940</v>
      </c>
      <c r="C97" s="325">
        <f>АналитБал!E16</f>
        <v>155052</v>
      </c>
      <c r="D97" s="325">
        <f>SUM(D86,D92)</f>
        <v>201352</v>
      </c>
    </row>
    <row r="98" spans="2:4" ht="12.75">
      <c r="B98" s="352" t="s">
        <v>941</v>
      </c>
      <c r="C98" s="355"/>
      <c r="D98" s="354"/>
    </row>
    <row r="99" spans="2:4" ht="22.5">
      <c r="B99" s="102" t="s">
        <v>856</v>
      </c>
      <c r="C99" s="323">
        <f>АналитБал!E18</f>
        <v>122566</v>
      </c>
      <c r="D99" s="323">
        <f>C99+F70+F71+F72+F73+F80+F79-E80-E79-E73-E72-E71-E70</f>
        <v>132826</v>
      </c>
    </row>
    <row r="100" spans="2:4" ht="33.75">
      <c r="B100" s="102" t="s">
        <v>857</v>
      </c>
      <c r="C100" s="323">
        <f>АналитБал!E19</f>
        <v>2525</v>
      </c>
      <c r="D100" s="323">
        <f>C100+F69-E69+F63-E63</f>
        <v>2525</v>
      </c>
    </row>
    <row r="101" spans="2:4" ht="33.75">
      <c r="B101" s="102" t="s">
        <v>555</v>
      </c>
      <c r="C101" s="323">
        <f>АналитБал!E20</f>
        <v>16327</v>
      </c>
      <c r="D101" s="323">
        <f>C101+F62-E62</f>
        <v>16327</v>
      </c>
    </row>
    <row r="102" spans="2:4" ht="22.5">
      <c r="B102" s="102" t="s">
        <v>556</v>
      </c>
      <c r="C102" s="323">
        <f>АналитБал!E21</f>
        <v>13634</v>
      </c>
      <c r="D102" s="323">
        <f>C102+F59-E59+F64-E64+F65-E65+F66-E66+F68-E68</f>
        <v>49674</v>
      </c>
    </row>
    <row r="103" spans="2:4" ht="12.75">
      <c r="B103" s="102" t="s">
        <v>548</v>
      </c>
      <c r="C103" s="323">
        <f>АналитБал!E22</f>
        <v>29961</v>
      </c>
      <c r="D103" s="323">
        <f>D101+D102</f>
        <v>66001</v>
      </c>
    </row>
    <row r="104" spans="2:4" ht="12.75">
      <c r="B104" s="102" t="s">
        <v>942</v>
      </c>
      <c r="C104" s="323">
        <f>АналитБал!E23</f>
        <v>32486</v>
      </c>
      <c r="D104" s="323">
        <f>D100+D103</f>
        <v>68526</v>
      </c>
    </row>
    <row r="105" spans="2:4" ht="12.75">
      <c r="B105" s="324" t="s">
        <v>943</v>
      </c>
      <c r="C105" s="325">
        <f>АналитБал!E24</f>
        <v>155052</v>
      </c>
      <c r="D105" s="325">
        <f>D99+D104</f>
        <v>201352</v>
      </c>
    </row>
    <row r="110" spans="2:6" ht="12.75">
      <c r="B110" s="750" t="s">
        <v>278</v>
      </c>
      <c r="C110" s="751"/>
      <c r="D110" s="751"/>
      <c r="E110" s="751"/>
      <c r="F110" s="751"/>
    </row>
    <row r="111" spans="2:4" ht="13.5" thickBot="1">
      <c r="B111" s="330" t="s">
        <v>312</v>
      </c>
      <c r="C111" s="331" t="s">
        <v>705</v>
      </c>
      <c r="D111" s="331" t="s">
        <v>706</v>
      </c>
    </row>
    <row r="112" spans="2:4" ht="13.5" thickBot="1">
      <c r="B112" s="489">
        <v>1</v>
      </c>
      <c r="C112" s="489">
        <v>2</v>
      </c>
      <c r="D112" s="489">
        <v>3</v>
      </c>
    </row>
    <row r="113" spans="2:4" ht="12.75">
      <c r="B113" s="490" t="s">
        <v>707</v>
      </c>
      <c r="C113" s="490">
        <v>10</v>
      </c>
      <c r="D113" s="491">
        <f>H74-G76</f>
        <v>200000</v>
      </c>
    </row>
    <row r="114" spans="2:4" ht="12.75">
      <c r="B114" s="492" t="s">
        <v>708</v>
      </c>
      <c r="C114" s="492">
        <v>20</v>
      </c>
      <c r="D114" s="493">
        <f>G75</f>
        <v>186500</v>
      </c>
    </row>
    <row r="115" spans="2:4" ht="12.75">
      <c r="B115" s="492" t="s">
        <v>273</v>
      </c>
      <c r="C115" s="492">
        <v>29</v>
      </c>
      <c r="D115" s="493">
        <f>D113-D114</f>
        <v>13500</v>
      </c>
    </row>
    <row r="116" spans="2:4" ht="12.75">
      <c r="B116" s="492" t="s">
        <v>274</v>
      </c>
      <c r="C116" s="492">
        <v>30</v>
      </c>
      <c r="D116" s="493">
        <f>G52</f>
        <v>0</v>
      </c>
    </row>
    <row r="117" spans="2:4" ht="12.75">
      <c r="B117" s="492" t="s">
        <v>275</v>
      </c>
      <c r="C117" s="492">
        <v>40</v>
      </c>
      <c r="D117" s="493">
        <f>G50</f>
        <v>0</v>
      </c>
    </row>
    <row r="118" spans="2:4" ht="12.75">
      <c r="B118" s="492" t="s">
        <v>709</v>
      </c>
      <c r="C118" s="492">
        <v>50</v>
      </c>
      <c r="D118" s="493">
        <f>D115-D116-D117</f>
        <v>13500</v>
      </c>
    </row>
    <row r="119" spans="2:4" ht="12.75">
      <c r="B119" s="492" t="s">
        <v>710</v>
      </c>
      <c r="C119" s="492">
        <v>60</v>
      </c>
      <c r="D119" s="493">
        <f>0</f>
        <v>0</v>
      </c>
    </row>
    <row r="120" spans="2:4" ht="12.75">
      <c r="B120" s="492" t="s">
        <v>277</v>
      </c>
      <c r="C120" s="492">
        <v>70</v>
      </c>
      <c r="D120" s="493">
        <v>0</v>
      </c>
    </row>
    <row r="121" spans="2:4" ht="12.75">
      <c r="B121" s="492" t="s">
        <v>711</v>
      </c>
      <c r="C121" s="492">
        <v>80</v>
      </c>
      <c r="D121" s="493">
        <v>0</v>
      </c>
    </row>
    <row r="122" spans="2:4" ht="12.75">
      <c r="B122" s="492" t="s">
        <v>303</v>
      </c>
      <c r="C122" s="492">
        <v>90</v>
      </c>
      <c r="D122" s="493">
        <v>0</v>
      </c>
    </row>
    <row r="123" spans="2:4" ht="12.75">
      <c r="B123" s="492" t="s">
        <v>304</v>
      </c>
      <c r="C123" s="492">
        <v>100</v>
      </c>
      <c r="D123" s="493">
        <v>0</v>
      </c>
    </row>
    <row r="124" spans="2:4" ht="12.75">
      <c r="B124" s="492" t="s">
        <v>715</v>
      </c>
      <c r="C124" s="492">
        <v>110</v>
      </c>
      <c r="D124" s="493">
        <f>D118+D119+D121+D122-D120-D123</f>
        <v>13500</v>
      </c>
    </row>
    <row r="125" spans="2:4" ht="12.75">
      <c r="B125" s="492" t="s">
        <v>305</v>
      </c>
      <c r="C125" s="492">
        <v>120</v>
      </c>
      <c r="D125" s="493">
        <v>0</v>
      </c>
    </row>
    <row r="126" spans="2:4" ht="12.75">
      <c r="B126" s="492" t="s">
        <v>712</v>
      </c>
      <c r="C126" s="492">
        <v>130</v>
      </c>
      <c r="D126" s="493">
        <v>0</v>
      </c>
    </row>
    <row r="127" spans="2:4" ht="12.75">
      <c r="B127" s="492" t="s">
        <v>716</v>
      </c>
      <c r="C127" s="492">
        <v>140</v>
      </c>
      <c r="D127" s="493">
        <f>D124-D125+D126</f>
        <v>13500</v>
      </c>
    </row>
    <row r="128" spans="2:4" ht="12.75">
      <c r="B128" s="492" t="s">
        <v>307</v>
      </c>
      <c r="C128" s="492">
        <v>150</v>
      </c>
      <c r="D128" s="493">
        <f>D127*24/100</f>
        <v>3240</v>
      </c>
    </row>
    <row r="129" spans="2:4" ht="12.75">
      <c r="B129" s="492" t="s">
        <v>713</v>
      </c>
      <c r="C129" s="492">
        <v>160</v>
      </c>
      <c r="D129" s="493">
        <v>0</v>
      </c>
    </row>
    <row r="130" spans="2:4" ht="13.5" thickBot="1">
      <c r="B130" s="494" t="s">
        <v>714</v>
      </c>
      <c r="C130" s="494">
        <v>170</v>
      </c>
      <c r="D130" s="495">
        <f>D127</f>
        <v>13500</v>
      </c>
    </row>
  </sheetData>
  <sheetProtection/>
  <mergeCells count="10">
    <mergeCell ref="B110:F110"/>
    <mergeCell ref="A81:B81"/>
    <mergeCell ref="B83:F83"/>
    <mergeCell ref="A34:B34"/>
    <mergeCell ref="A37:H37"/>
    <mergeCell ref="A38:A39"/>
    <mergeCell ref="B38:B39"/>
    <mergeCell ref="C38:D38"/>
    <mergeCell ref="E38:F38"/>
    <mergeCell ref="G38:H38"/>
  </mergeCells>
  <printOptions/>
  <pageMargins left="0.75" right="0.75" top="1" bottom="1" header="0.5" footer="0.5"/>
  <pageSetup orientation="portrait" paperSize="9"/>
  <legacyDrawing r:id="rId2"/>
</worksheet>
</file>

<file path=xl/worksheets/sheet29.xml><?xml version="1.0" encoding="utf-8"?>
<worksheet xmlns="http://schemas.openxmlformats.org/spreadsheetml/2006/main" xmlns:r="http://schemas.openxmlformats.org/officeDocument/2006/relationships">
  <dimension ref="A2:M57"/>
  <sheetViews>
    <sheetView tabSelected="1" zoomScalePageLayoutView="0" workbookViewId="0" topLeftCell="A1">
      <selection activeCell="A3" sqref="A3:F3"/>
    </sheetView>
  </sheetViews>
  <sheetFormatPr defaultColWidth="9.00390625" defaultRowHeight="12.75"/>
  <cols>
    <col min="1" max="1" width="14.25390625" style="234" customWidth="1"/>
    <col min="2" max="2" width="15.625" style="234" customWidth="1"/>
    <col min="3" max="3" width="12.875" style="234" customWidth="1"/>
    <col min="4" max="4" width="13.375" style="234" customWidth="1"/>
    <col min="5" max="5" width="15.00390625" style="234" customWidth="1"/>
    <col min="6" max="6" width="9.875" style="234" customWidth="1"/>
    <col min="7" max="7" width="7.125" style="234" customWidth="1"/>
    <col min="8" max="8" width="12.75390625" style="234" customWidth="1"/>
    <col min="9" max="12" width="9.125" style="234" customWidth="1"/>
    <col min="13" max="13" width="0.12890625" style="234" customWidth="1"/>
    <col min="14" max="16384" width="9.125" style="234" customWidth="1"/>
  </cols>
  <sheetData>
    <row r="2" spans="6:8" ht="11.25">
      <c r="F2" s="759" t="s">
        <v>468</v>
      </c>
      <c r="G2" s="759"/>
      <c r="H2" s="759"/>
    </row>
    <row r="3" spans="1:13" ht="11.25">
      <c r="A3" s="760" t="s">
        <v>409</v>
      </c>
      <c r="B3" s="761"/>
      <c r="C3" s="761"/>
      <c r="D3" s="761"/>
      <c r="E3" s="761"/>
      <c r="F3" s="761"/>
      <c r="H3" s="762" t="s">
        <v>410</v>
      </c>
      <c r="I3" s="763"/>
      <c r="J3" s="763"/>
      <c r="K3" s="763"/>
      <c r="L3" s="763"/>
      <c r="M3" s="761"/>
    </row>
    <row r="5" ht="3" customHeight="1"/>
    <row r="6" spans="1:12" ht="46.5" customHeight="1">
      <c r="A6" s="499" t="s">
        <v>411</v>
      </c>
      <c r="B6" s="496" t="s">
        <v>412</v>
      </c>
      <c r="C6" s="496" t="s">
        <v>413</v>
      </c>
      <c r="D6" s="496" t="s">
        <v>414</v>
      </c>
      <c r="E6" s="496" t="s">
        <v>415</v>
      </c>
      <c r="F6" s="496" t="s">
        <v>416</v>
      </c>
      <c r="H6" s="497" t="s">
        <v>318</v>
      </c>
      <c r="I6" s="497" t="s">
        <v>417</v>
      </c>
      <c r="J6" s="497" t="s">
        <v>418</v>
      </c>
      <c r="K6" s="497" t="s">
        <v>419</v>
      </c>
      <c r="L6" s="497" t="s">
        <v>420</v>
      </c>
    </row>
    <row r="7" spans="1:12" ht="33.75">
      <c r="A7" s="496" t="s">
        <v>421</v>
      </c>
      <c r="B7" s="237">
        <f>B8+B9</f>
        <v>124052</v>
      </c>
      <c r="C7" s="237">
        <f>'2003'!$C$69</f>
        <v>96151</v>
      </c>
      <c r="D7" s="237">
        <f>'2003'!$C$84</f>
        <v>27901</v>
      </c>
      <c r="E7" s="237"/>
      <c r="F7" s="237"/>
      <c r="H7" s="236" t="s">
        <v>422</v>
      </c>
      <c r="I7" s="237">
        <f>B7</f>
        <v>124052</v>
      </c>
      <c r="J7" s="237">
        <f>E10</f>
        <v>146535</v>
      </c>
      <c r="K7" s="237">
        <f>E10-B7</f>
        <v>22483</v>
      </c>
      <c r="L7" s="237">
        <f>J7/I7</f>
        <v>1.1812385128816947</v>
      </c>
    </row>
    <row r="8" spans="1:12" ht="33.75">
      <c r="A8" s="496" t="s">
        <v>423</v>
      </c>
      <c r="B8" s="237">
        <f>'2003'!$C$14+'2003'!$C$22+'2003'!$C$23+'2003'!$C$24+'2003'!$C$25</f>
        <v>123488</v>
      </c>
      <c r="C8" s="503"/>
      <c r="D8" s="503"/>
      <c r="E8" s="237">
        <f>'2003'!$D$14+'2003'!$D$22+'2003'!$D$23+'2003'!$D$24+'2003'!$D$25</f>
        <v>146335</v>
      </c>
      <c r="F8" s="237">
        <f>E8-B8</f>
        <v>22847</v>
      </c>
      <c r="H8" s="236" t="s">
        <v>928</v>
      </c>
      <c r="I8" s="237">
        <f>B8</f>
        <v>123488</v>
      </c>
      <c r="J8" s="237">
        <f>E8</f>
        <v>146335</v>
      </c>
      <c r="K8" s="237">
        <f>E8-B8</f>
        <v>22847</v>
      </c>
      <c r="L8" s="237">
        <f>J8/I8</f>
        <v>1.1850139284788805</v>
      </c>
    </row>
    <row r="9" spans="1:12" ht="22.5">
      <c r="A9" s="496" t="s">
        <v>424</v>
      </c>
      <c r="B9" s="237">
        <f>'2003'!$C$26+'2003'!$C$27</f>
        <v>564</v>
      </c>
      <c r="C9" s="503"/>
      <c r="D9" s="503"/>
      <c r="E9" s="237">
        <f>'2003'!$D$26+'2003'!$D$27</f>
        <v>200</v>
      </c>
      <c r="F9" s="237">
        <f>E9-B9</f>
        <v>-364</v>
      </c>
      <c r="H9" s="236" t="s">
        <v>929</v>
      </c>
      <c r="I9" s="237">
        <f>B9</f>
        <v>564</v>
      </c>
      <c r="J9" s="237">
        <f>E9</f>
        <v>200</v>
      </c>
      <c r="K9" s="237">
        <f>E9-B9</f>
        <v>-364</v>
      </c>
      <c r="L9" s="237">
        <f>J9/I9</f>
        <v>0.3546099290780142</v>
      </c>
    </row>
    <row r="10" spans="1:12" ht="48" customHeight="1">
      <c r="A10" s="496" t="s">
        <v>425</v>
      </c>
      <c r="B10" s="237"/>
      <c r="C10" s="237">
        <f>'2003'!$D$69</f>
        <v>110433</v>
      </c>
      <c r="D10" s="237">
        <f>'2003'!$D$84</f>
        <v>36102</v>
      </c>
      <c r="E10" s="237">
        <f>C10+D10</f>
        <v>146535</v>
      </c>
      <c r="F10" s="237"/>
      <c r="H10" s="236" t="s">
        <v>426</v>
      </c>
      <c r="I10" s="237">
        <f>C7</f>
        <v>96151</v>
      </c>
      <c r="J10" s="237">
        <f>C10</f>
        <v>110433</v>
      </c>
      <c r="K10" s="237">
        <f>C11</f>
        <v>14282</v>
      </c>
      <c r="L10" s="237">
        <f>J10/I10</f>
        <v>1.1485371967010223</v>
      </c>
    </row>
    <row r="11" spans="1:12" ht="31.5" customHeight="1">
      <c r="A11" s="496" t="s">
        <v>416</v>
      </c>
      <c r="B11" s="237"/>
      <c r="C11" s="237">
        <f>C10-C7</f>
        <v>14282</v>
      </c>
      <c r="D11" s="237">
        <f>D10-D7</f>
        <v>8201</v>
      </c>
      <c r="E11" s="237"/>
      <c r="F11" s="237">
        <f>E10-B7</f>
        <v>22483</v>
      </c>
      <c r="H11" s="498" t="s">
        <v>427</v>
      </c>
      <c r="I11" s="237">
        <f>D7</f>
        <v>27901</v>
      </c>
      <c r="J11" s="237">
        <f>D10</f>
        <v>36102</v>
      </c>
      <c r="K11" s="237">
        <f>D11</f>
        <v>8201</v>
      </c>
      <c r="L11" s="237">
        <f>J11/I11</f>
        <v>1.2939321171284184</v>
      </c>
    </row>
    <row r="12" spans="8:12" ht="11.25">
      <c r="H12" s="498" t="s">
        <v>428</v>
      </c>
      <c r="I12" s="237">
        <f>I10/I7</f>
        <v>0.7750862541514849</v>
      </c>
      <c r="J12" s="237">
        <f>J10/J7</f>
        <v>0.7536288258777767</v>
      </c>
      <c r="K12" s="237">
        <f>J12-I12</f>
        <v>-0.021457428273708223</v>
      </c>
      <c r="L12" s="237"/>
    </row>
    <row r="13" spans="8:12" ht="11.25">
      <c r="H13" s="498" t="s">
        <v>930</v>
      </c>
      <c r="I13" s="237">
        <f>I10/I9</f>
        <v>170.4804964539007</v>
      </c>
      <c r="J13" s="237">
        <f>J10/J9</f>
        <v>552.165</v>
      </c>
      <c r="K13" s="237">
        <f>J13-I13</f>
        <v>381.6845035460992</v>
      </c>
      <c r="L13" s="237"/>
    </row>
    <row r="14" spans="8:12" ht="11.25">
      <c r="H14" s="498" t="s">
        <v>931</v>
      </c>
      <c r="I14" s="237">
        <f>I9/I11</f>
        <v>0.020214329235511273</v>
      </c>
      <c r="J14" s="237">
        <f>J9/J11</f>
        <v>0.005539859287574096</v>
      </c>
      <c r="K14" s="237">
        <f aca="true" t="shared" si="0" ref="K14:K19">J14-I14</f>
        <v>-0.014674469947937177</v>
      </c>
      <c r="L14" s="237"/>
    </row>
    <row r="15" spans="8:12" ht="11.25">
      <c r="H15" s="498" t="s">
        <v>429</v>
      </c>
      <c r="I15" s="237">
        <f>I11/I7</f>
        <v>0.22491374584851515</v>
      </c>
      <c r="J15" s="237">
        <f>J11/J7</f>
        <v>0.24637117412222337</v>
      </c>
      <c r="K15" s="237">
        <f t="shared" si="0"/>
        <v>0.021457428273708223</v>
      </c>
      <c r="L15" s="237"/>
    </row>
    <row r="16" spans="8:12" ht="11.25">
      <c r="H16" s="498" t="s">
        <v>932</v>
      </c>
      <c r="I16" s="237">
        <f>I10/I8</f>
        <v>0.7786262632806427</v>
      </c>
      <c r="J16" s="237">
        <f>J10/J8</f>
        <v>0.7546588307650255</v>
      </c>
      <c r="K16" s="237">
        <f t="shared" si="0"/>
        <v>-0.02396743251561717</v>
      </c>
      <c r="L16" s="237"/>
    </row>
    <row r="17" spans="8:12" ht="11.25">
      <c r="H17" s="236" t="s">
        <v>933</v>
      </c>
      <c r="I17" s="237">
        <f>I8/I7</f>
        <v>0.995453519491826</v>
      </c>
      <c r="J17" s="237">
        <f>J8/J7</f>
        <v>0.9986351383628485</v>
      </c>
      <c r="K17" s="237">
        <f t="shared" si="0"/>
        <v>0.003181618871022418</v>
      </c>
      <c r="L17" s="237"/>
    </row>
    <row r="18" spans="8:12" ht="11.25">
      <c r="H18" s="236" t="s">
        <v>430</v>
      </c>
      <c r="I18" s="237">
        <f>I11/I10</f>
        <v>0.2901789892980832</v>
      </c>
      <c r="J18" s="237">
        <f>J11/J10</f>
        <v>0.32691315096031076</v>
      </c>
      <c r="K18" s="237">
        <f t="shared" si="0"/>
        <v>0.03673416166222754</v>
      </c>
      <c r="L18" s="237"/>
    </row>
    <row r="19" spans="8:12" ht="11.25">
      <c r="H19" s="236" t="s">
        <v>934</v>
      </c>
      <c r="I19" s="237">
        <f>I9/I8</f>
        <v>0.004567245400362788</v>
      </c>
      <c r="J19" s="237">
        <f>J9/J8</f>
        <v>0.0013667270304438446</v>
      </c>
      <c r="K19" s="237">
        <f t="shared" si="0"/>
        <v>-0.003200518369918944</v>
      </c>
      <c r="L19" s="237"/>
    </row>
    <row r="22" spans="6:8" ht="11.25">
      <c r="F22" s="759" t="s">
        <v>431</v>
      </c>
      <c r="G22" s="759"/>
      <c r="H22" s="759"/>
    </row>
    <row r="23" spans="1:13" ht="11.25">
      <c r="A23" s="760" t="s">
        <v>409</v>
      </c>
      <c r="B23" s="761"/>
      <c r="C23" s="761"/>
      <c r="D23" s="761"/>
      <c r="E23" s="761"/>
      <c r="F23" s="761"/>
      <c r="H23" s="762" t="s">
        <v>410</v>
      </c>
      <c r="I23" s="763"/>
      <c r="J23" s="763"/>
      <c r="K23" s="763"/>
      <c r="L23" s="763"/>
      <c r="M23" s="761"/>
    </row>
    <row r="25" spans="1:12" ht="33.75">
      <c r="A25" s="499" t="s">
        <v>411</v>
      </c>
      <c r="B25" s="496" t="s">
        <v>412</v>
      </c>
      <c r="C25" s="496" t="s">
        <v>413</v>
      </c>
      <c r="D25" s="496" t="s">
        <v>414</v>
      </c>
      <c r="E25" s="496" t="s">
        <v>415</v>
      </c>
      <c r="F25" s="496" t="s">
        <v>416</v>
      </c>
      <c r="H25" s="497" t="s">
        <v>318</v>
      </c>
      <c r="I25" s="497" t="s">
        <v>417</v>
      </c>
      <c r="J25" s="497" t="s">
        <v>418</v>
      </c>
      <c r="K25" s="497" t="s">
        <v>419</v>
      </c>
      <c r="L25" s="497" t="s">
        <v>420</v>
      </c>
    </row>
    <row r="26" spans="1:12" ht="33.75">
      <c r="A26" s="496" t="s">
        <v>421</v>
      </c>
      <c r="B26" s="237">
        <f>B27+B28</f>
        <v>146535</v>
      </c>
      <c r="C26" s="237">
        <f>'2004'!$C$69</f>
        <v>110433</v>
      </c>
      <c r="D26" s="237">
        <f>'2004'!$C84</f>
        <v>36102</v>
      </c>
      <c r="E26" s="237"/>
      <c r="F26" s="237"/>
      <c r="H26" s="236" t="s">
        <v>422</v>
      </c>
      <c r="I26" s="237">
        <f>B26</f>
        <v>146535</v>
      </c>
      <c r="J26" s="237">
        <f>E29</f>
        <v>132644</v>
      </c>
      <c r="K26" s="237">
        <f>E29-B26</f>
        <v>-13891</v>
      </c>
      <c r="L26" s="237">
        <f>J26/I26</f>
        <v>0.9052035349916402</v>
      </c>
    </row>
    <row r="27" spans="1:12" ht="33.75">
      <c r="A27" s="496" t="s">
        <v>423</v>
      </c>
      <c r="B27" s="237">
        <f>'2004'!$C$14+'2004'!$C$22+'2004'!$C$23+'2004'!$C$24+'2004'!$C$25</f>
        <v>146335</v>
      </c>
      <c r="C27" s="503"/>
      <c r="D27" s="503"/>
      <c r="E27" s="237">
        <f>'2004'!$D$14+'2004'!$D$22+'2004'!$D$23+'2004'!$D$24+'2004'!$D$25</f>
        <v>132628</v>
      </c>
      <c r="F27" s="237">
        <f>E27-B27</f>
        <v>-13707</v>
      </c>
      <c r="H27" s="236" t="s">
        <v>928</v>
      </c>
      <c r="I27" s="237">
        <f>B27</f>
        <v>146335</v>
      </c>
      <c r="J27" s="237">
        <f>E27</f>
        <v>132628</v>
      </c>
      <c r="K27" s="237">
        <f>E27-B27</f>
        <v>-13707</v>
      </c>
      <c r="L27" s="237">
        <f>J27/I27</f>
        <v>0.9063313629685311</v>
      </c>
    </row>
    <row r="28" spans="1:12" ht="22.5">
      <c r="A28" s="496" t="s">
        <v>424</v>
      </c>
      <c r="B28" s="237">
        <f>'2004'!$C$26+'2004'!$C$27</f>
        <v>200</v>
      </c>
      <c r="C28" s="503"/>
      <c r="D28" s="503"/>
      <c r="E28" s="237">
        <f>'2004'!$D$26+'2004'!$D$27</f>
        <v>8245</v>
      </c>
      <c r="F28" s="237">
        <f>E28-B28</f>
        <v>8045</v>
      </c>
      <c r="H28" s="236" t="s">
        <v>929</v>
      </c>
      <c r="I28" s="237">
        <f>B28</f>
        <v>200</v>
      </c>
      <c r="J28" s="237">
        <f>E28</f>
        <v>8245</v>
      </c>
      <c r="K28" s="237">
        <f>E28-B28</f>
        <v>8045</v>
      </c>
      <c r="L28" s="237">
        <f>J28/I28</f>
        <v>41.225</v>
      </c>
    </row>
    <row r="29" spans="1:12" ht="33.75">
      <c r="A29" s="496" t="s">
        <v>425</v>
      </c>
      <c r="B29" s="237"/>
      <c r="C29" s="237">
        <f>'2004'!$D$69</f>
        <v>89189</v>
      </c>
      <c r="D29" s="237">
        <f>'2004'!$D$84</f>
        <v>43455</v>
      </c>
      <c r="E29" s="237">
        <f>C29+D29</f>
        <v>132644</v>
      </c>
      <c r="F29" s="237"/>
      <c r="H29" s="236" t="s">
        <v>426</v>
      </c>
      <c r="I29" s="237">
        <f>C26</f>
        <v>110433</v>
      </c>
      <c r="J29" s="237">
        <f>C29</f>
        <v>89189</v>
      </c>
      <c r="K29" s="237">
        <f>C30</f>
        <v>-21244</v>
      </c>
      <c r="L29" s="237">
        <f>J29/I29</f>
        <v>0.8076299656805483</v>
      </c>
    </row>
    <row r="30" spans="1:12" ht="11.25">
      <c r="A30" s="496" t="s">
        <v>416</v>
      </c>
      <c r="B30" s="237"/>
      <c r="C30" s="237">
        <f>C29-C26</f>
        <v>-21244</v>
      </c>
      <c r="D30" s="237">
        <f>D29-D26</f>
        <v>7353</v>
      </c>
      <c r="E30" s="237"/>
      <c r="F30" s="237">
        <f>E29-B26</f>
        <v>-13891</v>
      </c>
      <c r="H30" s="498" t="s">
        <v>427</v>
      </c>
      <c r="I30" s="237">
        <f>D26</f>
        <v>36102</v>
      </c>
      <c r="J30" s="237">
        <f>D29</f>
        <v>43455</v>
      </c>
      <c r="K30" s="237">
        <f>D30</f>
        <v>7353</v>
      </c>
      <c r="L30" s="237">
        <f>J30/I30</f>
        <v>1.2036729267076616</v>
      </c>
    </row>
    <row r="31" spans="8:12" ht="11.25">
      <c r="H31" s="498" t="s">
        <v>428</v>
      </c>
      <c r="I31" s="237">
        <f>I29/I26</f>
        <v>0.7536288258777767</v>
      </c>
      <c r="J31" s="237">
        <f>J29/J26</f>
        <v>0.6723937758209946</v>
      </c>
      <c r="K31" s="237">
        <f>J31-I31</f>
        <v>-0.08123505005678211</v>
      </c>
      <c r="L31" s="237"/>
    </row>
    <row r="32" spans="8:12" ht="11.25">
      <c r="H32" s="498" t="s">
        <v>930</v>
      </c>
      <c r="I32" s="237">
        <f>I29/I28</f>
        <v>552.165</v>
      </c>
      <c r="J32" s="237">
        <f>J29/J28</f>
        <v>10.817343844754397</v>
      </c>
      <c r="K32" s="237">
        <f>J32-I32</f>
        <v>-541.3476561552455</v>
      </c>
      <c r="L32" s="237"/>
    </row>
    <row r="33" spans="8:12" ht="11.25">
      <c r="H33" s="498" t="s">
        <v>931</v>
      </c>
      <c r="I33" s="237">
        <f>I28/I30</f>
        <v>0.005539859287574096</v>
      </c>
      <c r="J33" s="237">
        <f>J28/J30</f>
        <v>0.1897365090323323</v>
      </c>
      <c r="K33" s="237">
        <f aca="true" t="shared" si="1" ref="K33:K38">J33-I33</f>
        <v>0.18419664974475822</v>
      </c>
      <c r="L33" s="237"/>
    </row>
    <row r="34" spans="8:12" ht="11.25">
      <c r="H34" s="498" t="s">
        <v>429</v>
      </c>
      <c r="I34" s="237">
        <f>I30/I26</f>
        <v>0.24637117412222337</v>
      </c>
      <c r="J34" s="237">
        <f>J30/J26</f>
        <v>0.3276062241790055</v>
      </c>
      <c r="K34" s="237">
        <f t="shared" si="1"/>
        <v>0.08123505005678211</v>
      </c>
      <c r="L34" s="237"/>
    </row>
    <row r="35" spans="8:12" ht="11.25">
      <c r="H35" s="498" t="s">
        <v>932</v>
      </c>
      <c r="I35" s="237">
        <f>I29/I27</f>
        <v>0.7546588307650255</v>
      </c>
      <c r="J35" s="237">
        <f>J29/J27</f>
        <v>0.6724748921796302</v>
      </c>
      <c r="K35" s="237">
        <f t="shared" si="1"/>
        <v>-0.0821839385853953</v>
      </c>
      <c r="L35" s="237"/>
    </row>
    <row r="36" spans="8:12" ht="11.25">
      <c r="H36" s="236" t="s">
        <v>933</v>
      </c>
      <c r="I36" s="237">
        <f>I27/I26</f>
        <v>0.9986351383628485</v>
      </c>
      <c r="J36" s="237">
        <f>J27/J26</f>
        <v>0.9998793763758632</v>
      </c>
      <c r="K36" s="237">
        <f t="shared" si="1"/>
        <v>0.0012442380130147646</v>
      </c>
      <c r="L36" s="237"/>
    </row>
    <row r="37" spans="8:12" ht="11.25">
      <c r="H37" s="236" t="s">
        <v>430</v>
      </c>
      <c r="I37" s="237">
        <f>I30/I29</f>
        <v>0.32691315096031076</v>
      </c>
      <c r="J37" s="237">
        <f>J30/J29</f>
        <v>0.4872237607776744</v>
      </c>
      <c r="K37" s="237">
        <f t="shared" si="1"/>
        <v>0.16031060981736361</v>
      </c>
      <c r="L37" s="237"/>
    </row>
    <row r="38" spans="8:12" ht="11.25">
      <c r="H38" s="236" t="s">
        <v>934</v>
      </c>
      <c r="I38" s="237">
        <f>I28/I27</f>
        <v>0.0013667270304438446</v>
      </c>
      <c r="J38" s="237">
        <f>J28/J27</f>
        <v>0.062166360044636125</v>
      </c>
      <c r="K38" s="237">
        <f t="shared" si="1"/>
        <v>0.06079963301419228</v>
      </c>
      <c r="L38" s="237"/>
    </row>
    <row r="41" spans="6:8" ht="11.25">
      <c r="F41" s="759" t="s">
        <v>432</v>
      </c>
      <c r="G41" s="761"/>
      <c r="H41" s="761"/>
    </row>
    <row r="42" spans="1:13" ht="11.25">
      <c r="A42" s="760" t="s">
        <v>409</v>
      </c>
      <c r="B42" s="761"/>
      <c r="C42" s="761"/>
      <c r="D42" s="761"/>
      <c r="E42" s="761"/>
      <c r="F42" s="761"/>
      <c r="H42" s="762" t="s">
        <v>410</v>
      </c>
      <c r="I42" s="763"/>
      <c r="J42" s="763"/>
      <c r="K42" s="763"/>
      <c r="L42" s="763"/>
      <c r="M42" s="761"/>
    </row>
    <row r="44" spans="1:12" ht="33.75">
      <c r="A44" s="499" t="s">
        <v>411</v>
      </c>
      <c r="B44" s="496" t="s">
        <v>412</v>
      </c>
      <c r="C44" s="496" t="s">
        <v>413</v>
      </c>
      <c r="D44" s="496" t="s">
        <v>414</v>
      </c>
      <c r="E44" s="496" t="s">
        <v>415</v>
      </c>
      <c r="F44" s="496" t="s">
        <v>416</v>
      </c>
      <c r="H44" s="497" t="s">
        <v>318</v>
      </c>
      <c r="I44" s="497" t="s">
        <v>417</v>
      </c>
      <c r="J44" s="497" t="s">
        <v>418</v>
      </c>
      <c r="K44" s="497" t="s">
        <v>419</v>
      </c>
      <c r="L44" s="497" t="s">
        <v>420</v>
      </c>
    </row>
    <row r="45" spans="1:12" ht="33.75">
      <c r="A45" s="496" t="s">
        <v>421</v>
      </c>
      <c r="B45" s="237">
        <f>B46+B47</f>
        <v>140873</v>
      </c>
      <c r="C45" s="237">
        <f>'2005'!$C$69</f>
        <v>89189</v>
      </c>
      <c r="D45" s="237">
        <f>'2005'!$C$84</f>
        <v>43455</v>
      </c>
      <c r="E45" s="237"/>
      <c r="F45" s="237"/>
      <c r="H45" s="236" t="s">
        <v>422</v>
      </c>
      <c r="I45" s="237">
        <f>B45</f>
        <v>140873</v>
      </c>
      <c r="J45" s="237">
        <f>E48</f>
        <v>153338</v>
      </c>
      <c r="K45" s="237">
        <f>E48-B45</f>
        <v>12465</v>
      </c>
      <c r="L45" s="237">
        <f>J45/I45</f>
        <v>1.0884839536319948</v>
      </c>
    </row>
    <row r="46" spans="1:12" ht="33.75">
      <c r="A46" s="496" t="s">
        <v>423</v>
      </c>
      <c r="B46" s="237">
        <f>'2005'!$C$14+'2005'!$C$22+'2005'!$C$23+'2005'!$C$24+'2005'!$C$25</f>
        <v>132628</v>
      </c>
      <c r="C46" s="503"/>
      <c r="D46" s="503"/>
      <c r="E46" s="237">
        <f>'2005'!$D$14+'2005'!$D$22+'2005'!$D$23+'2005'!$D$24+'2005'!$D$25</f>
        <v>154522</v>
      </c>
      <c r="F46" s="237">
        <f>E46-B46</f>
        <v>21894</v>
      </c>
      <c r="H46" s="236" t="s">
        <v>928</v>
      </c>
      <c r="I46" s="237">
        <f>B46</f>
        <v>132628</v>
      </c>
      <c r="J46" s="237">
        <f>E46</f>
        <v>154522</v>
      </c>
      <c r="K46" s="237">
        <f>E46-B46</f>
        <v>21894</v>
      </c>
      <c r="L46" s="237">
        <f>J46/I46</f>
        <v>1.1650782640166482</v>
      </c>
    </row>
    <row r="47" spans="1:12" ht="22.5">
      <c r="A47" s="496" t="s">
        <v>424</v>
      </c>
      <c r="B47" s="237">
        <f>'2005'!$C$26+'2005'!$C$27</f>
        <v>8245</v>
      </c>
      <c r="C47" s="503"/>
      <c r="D47" s="503"/>
      <c r="E47" s="237">
        <f>'2005'!$D$26+'2005'!$D$27</f>
        <v>530</v>
      </c>
      <c r="F47" s="237">
        <f>E47-B47</f>
        <v>-7715</v>
      </c>
      <c r="H47" s="236" t="s">
        <v>929</v>
      </c>
      <c r="I47" s="237">
        <f>B47</f>
        <v>8245</v>
      </c>
      <c r="J47" s="237">
        <f>E47</f>
        <v>530</v>
      </c>
      <c r="K47" s="237">
        <f>E47-B47</f>
        <v>-7715</v>
      </c>
      <c r="L47" s="237">
        <f>J47/I47</f>
        <v>0.06428138265615524</v>
      </c>
    </row>
    <row r="48" spans="1:12" ht="33.75">
      <c r="A48" s="496" t="s">
        <v>425</v>
      </c>
      <c r="B48" s="237"/>
      <c r="C48" s="237">
        <f>'2005'!$D$69</f>
        <v>122566</v>
      </c>
      <c r="D48" s="237">
        <f>'2005'!$D$84</f>
        <v>30772</v>
      </c>
      <c r="E48" s="237">
        <f>C48+D48</f>
        <v>153338</v>
      </c>
      <c r="F48" s="237"/>
      <c r="H48" s="236" t="s">
        <v>426</v>
      </c>
      <c r="I48" s="237">
        <f>C45</f>
        <v>89189</v>
      </c>
      <c r="J48" s="237">
        <f>C48</f>
        <v>122566</v>
      </c>
      <c r="K48" s="237">
        <f>C49</f>
        <v>33377</v>
      </c>
      <c r="L48" s="237">
        <f>J48/I48</f>
        <v>1.3742277635134377</v>
      </c>
    </row>
    <row r="49" spans="1:12" ht="11.25">
      <c r="A49" s="496" t="s">
        <v>416</v>
      </c>
      <c r="B49" s="237"/>
      <c r="C49" s="237">
        <f>C48-C45</f>
        <v>33377</v>
      </c>
      <c r="D49" s="237">
        <f>D48-D45</f>
        <v>-12683</v>
      </c>
      <c r="E49" s="237"/>
      <c r="F49" s="237">
        <f>E48-B45</f>
        <v>12465</v>
      </c>
      <c r="H49" s="498" t="s">
        <v>427</v>
      </c>
      <c r="I49" s="237">
        <f>D45</f>
        <v>43455</v>
      </c>
      <c r="J49" s="237">
        <f>D48</f>
        <v>30772</v>
      </c>
      <c r="K49" s="237">
        <f>D49</f>
        <v>-12683</v>
      </c>
      <c r="L49" s="237">
        <f>J49/I49</f>
        <v>0.7081348521458981</v>
      </c>
    </row>
    <row r="50" spans="8:12" ht="11.25">
      <c r="H50" s="498" t="s">
        <v>428</v>
      </c>
      <c r="I50" s="237">
        <f>I48/I45</f>
        <v>0.6331163530271947</v>
      </c>
      <c r="J50" s="237">
        <f>J48/J45</f>
        <v>0.7993191511562692</v>
      </c>
      <c r="K50" s="237">
        <f>J50-I50</f>
        <v>0.16620279812907446</v>
      </c>
      <c r="L50" s="237"/>
    </row>
    <row r="51" spans="8:12" ht="11.25">
      <c r="H51" s="498" t="s">
        <v>930</v>
      </c>
      <c r="I51" s="237">
        <f>I48/I47</f>
        <v>10.817343844754397</v>
      </c>
      <c r="J51" s="237">
        <f>J48/J47</f>
        <v>231.2566037735849</v>
      </c>
      <c r="K51" s="237">
        <f>J51-I51</f>
        <v>220.43925992883052</v>
      </c>
      <c r="L51" s="237"/>
    </row>
    <row r="52" spans="8:12" ht="11.25">
      <c r="H52" s="498" t="s">
        <v>931</v>
      </c>
      <c r="I52" s="237">
        <f>I47/I49</f>
        <v>0.1897365090323323</v>
      </c>
      <c r="J52" s="237">
        <f>J47/J49</f>
        <v>0.017223449889509943</v>
      </c>
      <c r="K52" s="237">
        <f aca="true" t="shared" si="2" ref="K52:K57">J52-I52</f>
        <v>-0.17251305914282236</v>
      </c>
      <c r="L52" s="237"/>
    </row>
    <row r="53" spans="8:12" ht="11.25">
      <c r="H53" s="498" t="s">
        <v>429</v>
      </c>
      <c r="I53" s="237">
        <f>I49/I45</f>
        <v>0.30846933053175557</v>
      </c>
      <c r="J53" s="237">
        <f>J49/J45</f>
        <v>0.20068084884373083</v>
      </c>
      <c r="K53" s="237">
        <f t="shared" si="2"/>
        <v>-0.10778848168802474</v>
      </c>
      <c r="L53" s="237"/>
    </row>
    <row r="54" spans="8:12" ht="11.25">
      <c r="H54" s="498" t="s">
        <v>932</v>
      </c>
      <c r="I54" s="237">
        <f>I48/I46</f>
        <v>0.6724748921796302</v>
      </c>
      <c r="J54" s="237">
        <f>J48/J46</f>
        <v>0.7931944965765393</v>
      </c>
      <c r="K54" s="237">
        <f t="shared" si="2"/>
        <v>0.1207196043969091</v>
      </c>
      <c r="L54" s="237"/>
    </row>
    <row r="55" spans="8:12" ht="11.25">
      <c r="H55" s="236" t="s">
        <v>933</v>
      </c>
      <c r="I55" s="237">
        <f>I46/I45</f>
        <v>0.9414721060813641</v>
      </c>
      <c r="J55" s="237">
        <f>J46/J45</f>
        <v>1.0077215041281353</v>
      </c>
      <c r="K55" s="237">
        <f t="shared" si="2"/>
        <v>0.06624939804677121</v>
      </c>
      <c r="L55" s="237"/>
    </row>
    <row r="56" spans="8:12" ht="11.25">
      <c r="H56" s="236" t="s">
        <v>430</v>
      </c>
      <c r="I56" s="237">
        <f>I49/I48</f>
        <v>0.4872237607776744</v>
      </c>
      <c r="J56" s="237">
        <f>J49/J48</f>
        <v>0.25106473247066885</v>
      </c>
      <c r="K56" s="237">
        <f t="shared" si="2"/>
        <v>-0.23615902830700553</v>
      </c>
      <c r="L56" s="237"/>
    </row>
    <row r="57" spans="8:12" ht="11.25">
      <c r="H57" s="236" t="s">
        <v>934</v>
      </c>
      <c r="I57" s="237">
        <f>I47/I46</f>
        <v>0.062166360044636125</v>
      </c>
      <c r="J57" s="237">
        <f>J47/J46</f>
        <v>0.0034299323073737073</v>
      </c>
      <c r="K57" s="237">
        <f t="shared" si="2"/>
        <v>-0.05873642773726242</v>
      </c>
      <c r="L57" s="237"/>
    </row>
  </sheetData>
  <sheetProtection/>
  <mergeCells count="9">
    <mergeCell ref="F41:H41"/>
    <mergeCell ref="A42:F42"/>
    <mergeCell ref="H42:M42"/>
    <mergeCell ref="F2:H2"/>
    <mergeCell ref="A3:F3"/>
    <mergeCell ref="H3:M3"/>
    <mergeCell ref="F22:H22"/>
    <mergeCell ref="A23:F23"/>
    <mergeCell ref="H23:M23"/>
  </mergeCells>
  <printOptions/>
  <pageMargins left="0.75" right="0.75" top="1" bottom="1" header="0.5" footer="0.5"/>
  <pageSetup horizontalDpi="600" verticalDpi="600" orientation="landscape" paperSize="9" scale="59" r:id="rId1"/>
  <rowBreaks count="1" manualBreakCount="1">
    <brk id="21"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B2:F27"/>
  <sheetViews>
    <sheetView zoomScalePageLayoutView="0" workbookViewId="0" topLeftCell="A16">
      <selection activeCell="B12" sqref="B12"/>
    </sheetView>
  </sheetViews>
  <sheetFormatPr defaultColWidth="9.00390625" defaultRowHeight="12.75"/>
  <cols>
    <col min="1" max="1" width="4.375" style="234" customWidth="1"/>
    <col min="2" max="2" width="39.625" style="234" customWidth="1"/>
    <col min="3" max="3" width="7.875" style="234" customWidth="1"/>
    <col min="4" max="4" width="6.875" style="234" customWidth="1"/>
    <col min="5" max="5" width="7.875" style="234" customWidth="1"/>
    <col min="6" max="6" width="13.875" style="234" customWidth="1"/>
    <col min="7" max="16384" width="9.125" style="234" customWidth="1"/>
  </cols>
  <sheetData>
    <row r="2" ht="12.75">
      <c r="B2" s="235" t="s">
        <v>44</v>
      </c>
    </row>
    <row r="4" spans="2:5" ht="16.5" customHeight="1">
      <c r="B4" s="44" t="s">
        <v>39</v>
      </c>
      <c r="C4" s="44">
        <v>2002</v>
      </c>
      <c r="D4" s="44">
        <v>2003</v>
      </c>
      <c r="E4" s="44">
        <v>2004</v>
      </c>
    </row>
    <row r="5" spans="2:5" ht="11.25">
      <c r="B5" s="236" t="s">
        <v>40</v>
      </c>
      <c r="C5" s="237">
        <v>9</v>
      </c>
      <c r="D5" s="237">
        <v>575</v>
      </c>
      <c r="E5" s="237">
        <v>543</v>
      </c>
    </row>
    <row r="6" spans="2:5" ht="11.25">
      <c r="B6" s="236" t="s">
        <v>41</v>
      </c>
      <c r="C6" s="237">
        <v>35</v>
      </c>
      <c r="D6" s="237">
        <v>977</v>
      </c>
      <c r="E6" s="237">
        <v>951</v>
      </c>
    </row>
    <row r="7" spans="2:5" ht="11.25">
      <c r="B7" s="236" t="s">
        <v>1033</v>
      </c>
      <c r="C7" s="237">
        <v>56</v>
      </c>
      <c r="D7" s="237">
        <v>89</v>
      </c>
      <c r="E7" s="237">
        <v>88</v>
      </c>
    </row>
    <row r="8" spans="2:5" ht="11.25">
      <c r="B8" s="236" t="s">
        <v>42</v>
      </c>
      <c r="C8" s="237">
        <v>697</v>
      </c>
      <c r="D8" s="237">
        <v>3830</v>
      </c>
      <c r="E8" s="237">
        <v>3982</v>
      </c>
    </row>
    <row r="9" spans="2:5" ht="11.25">
      <c r="B9" s="510" t="s">
        <v>1034</v>
      </c>
      <c r="C9" s="237">
        <v>268</v>
      </c>
      <c r="D9" s="237">
        <v>69</v>
      </c>
      <c r="E9" s="237">
        <v>44</v>
      </c>
    </row>
    <row r="10" spans="2:5" ht="11.25">
      <c r="B10" s="236" t="s">
        <v>43</v>
      </c>
      <c r="C10" s="237">
        <f>Данные!C63</f>
        <v>775</v>
      </c>
      <c r="D10" s="237">
        <f>Данные!D63</f>
        <v>776</v>
      </c>
      <c r="E10" s="237">
        <f>Данные!E63</f>
        <v>777</v>
      </c>
    </row>
    <row r="12" ht="12.75">
      <c r="B12" s="235" t="s">
        <v>45</v>
      </c>
    </row>
    <row r="13" ht="12.75">
      <c r="B13" s="235"/>
    </row>
    <row r="14" spans="2:6" ht="36.75" customHeight="1">
      <c r="B14" s="233" t="s">
        <v>268</v>
      </c>
      <c r="C14" s="233">
        <v>2002</v>
      </c>
      <c r="D14" s="233">
        <v>2003</v>
      </c>
      <c r="E14" s="233">
        <v>2004</v>
      </c>
      <c r="F14" s="233" t="s">
        <v>46</v>
      </c>
    </row>
    <row r="15" spans="2:6" ht="22.5">
      <c r="B15" s="242" t="s">
        <v>48</v>
      </c>
      <c r="C15" s="237">
        <v>6387</v>
      </c>
      <c r="D15" s="237">
        <f>C21</f>
        <v>5296</v>
      </c>
      <c r="E15" s="237">
        <f>D21</f>
        <v>5767</v>
      </c>
      <c r="F15" s="240">
        <f>E15-C15</f>
        <v>-620</v>
      </c>
    </row>
    <row r="16" spans="2:6" ht="11.25">
      <c r="B16" s="242" t="s">
        <v>49</v>
      </c>
      <c r="C16" s="237">
        <v>641</v>
      </c>
      <c r="D16" s="237">
        <v>724</v>
      </c>
      <c r="E16" s="237">
        <v>315</v>
      </c>
      <c r="F16" s="240">
        <f aca="true" t="shared" si="0" ref="F16:F27">E16-C16</f>
        <v>-326</v>
      </c>
    </row>
    <row r="17" spans="2:6" ht="11.25">
      <c r="B17" s="242" t="s">
        <v>50</v>
      </c>
      <c r="C17" s="237">
        <v>1732</v>
      </c>
      <c r="D17" s="237">
        <v>253</v>
      </c>
      <c r="E17" s="237">
        <v>175</v>
      </c>
      <c r="F17" s="240">
        <f t="shared" si="0"/>
        <v>-1557</v>
      </c>
    </row>
    <row r="18" spans="2:6" ht="11.25">
      <c r="B18" s="238" t="s">
        <v>47</v>
      </c>
      <c r="C18" s="237"/>
      <c r="D18" s="237"/>
      <c r="E18" s="237"/>
      <c r="F18" s="240">
        <f t="shared" si="0"/>
        <v>0</v>
      </c>
    </row>
    <row r="19" spans="2:6" ht="11.25">
      <c r="B19" s="242" t="s">
        <v>51</v>
      </c>
      <c r="C19" s="237">
        <v>613</v>
      </c>
      <c r="D19" s="237">
        <v>119</v>
      </c>
      <c r="E19" s="237">
        <v>143</v>
      </c>
      <c r="F19" s="240">
        <f t="shared" si="0"/>
        <v>-470</v>
      </c>
    </row>
    <row r="20" spans="2:6" ht="11.25">
      <c r="B20" s="242" t="s">
        <v>52</v>
      </c>
      <c r="C20" s="237">
        <v>29</v>
      </c>
      <c r="D20" s="237">
        <v>31</v>
      </c>
      <c r="E20" s="237">
        <v>27</v>
      </c>
      <c r="F20" s="240">
        <f t="shared" si="0"/>
        <v>-2</v>
      </c>
    </row>
    <row r="21" spans="2:6" ht="22.5">
      <c r="B21" s="242" t="s">
        <v>577</v>
      </c>
      <c r="C21" s="237">
        <f>C15+C16-C17</f>
        <v>5296</v>
      </c>
      <c r="D21" s="237">
        <f>D15+D16-D17</f>
        <v>5767</v>
      </c>
      <c r="E21" s="237">
        <f>E15+E16-E17</f>
        <v>5907</v>
      </c>
      <c r="F21" s="240">
        <f t="shared" si="0"/>
        <v>611</v>
      </c>
    </row>
    <row r="22" spans="2:6" ht="11.25">
      <c r="B22" s="242" t="s">
        <v>53</v>
      </c>
      <c r="C22" s="237">
        <f>C10</f>
        <v>775</v>
      </c>
      <c r="D22" s="237">
        <f>D10</f>
        <v>776</v>
      </c>
      <c r="E22" s="237">
        <f>E10</f>
        <v>777</v>
      </c>
      <c r="F22" s="240">
        <f t="shared" si="0"/>
        <v>2</v>
      </c>
    </row>
    <row r="23" spans="2:6" ht="23.25" customHeight="1">
      <c r="B23" s="242" t="s">
        <v>54</v>
      </c>
      <c r="C23" s="237">
        <v>473</v>
      </c>
      <c r="D23" s="237">
        <v>505</v>
      </c>
      <c r="E23" s="237">
        <v>544</v>
      </c>
      <c r="F23" s="240">
        <f t="shared" si="0"/>
        <v>71</v>
      </c>
    </row>
    <row r="24" spans="2:6" ht="22.5">
      <c r="B24" s="242" t="s">
        <v>55</v>
      </c>
      <c r="C24" s="239">
        <f>C16/C22</f>
        <v>0.8270967741935484</v>
      </c>
      <c r="D24" s="239">
        <f>D16/D22</f>
        <v>0.9329896907216495</v>
      </c>
      <c r="E24" s="239">
        <f>E16/E22</f>
        <v>0.40540540540540543</v>
      </c>
      <c r="F24" s="241">
        <f t="shared" si="0"/>
        <v>-0.421691368788143</v>
      </c>
    </row>
    <row r="25" spans="2:6" ht="22.5">
      <c r="B25" s="242" t="s">
        <v>56</v>
      </c>
      <c r="C25" s="239">
        <f>C17/C22</f>
        <v>2.2348387096774194</v>
      </c>
      <c r="D25" s="239">
        <f>D17/D22</f>
        <v>0.32603092783505155</v>
      </c>
      <c r="E25" s="239">
        <f>E17/E22</f>
        <v>0.22522522522522523</v>
      </c>
      <c r="F25" s="241">
        <f>E25-C25</f>
        <v>-2.0096134844521942</v>
      </c>
    </row>
    <row r="26" spans="2:6" ht="22.5">
      <c r="B26" s="242" t="s">
        <v>80</v>
      </c>
      <c r="C26" s="239">
        <f>(C19+C20)/C22</f>
        <v>0.8283870967741935</v>
      </c>
      <c r="D26" s="239">
        <f>(D19+D20)/D22</f>
        <v>0.19329896907216496</v>
      </c>
      <c r="E26" s="239">
        <f>(E19+E20)/E22</f>
        <v>0.2187902187902188</v>
      </c>
      <c r="F26" s="241">
        <f t="shared" si="0"/>
        <v>-0.6095968779839748</v>
      </c>
    </row>
    <row r="27" spans="2:6" ht="11.25">
      <c r="B27" s="242" t="s">
        <v>81</v>
      </c>
      <c r="C27" s="239">
        <f>C23/C22</f>
        <v>0.6103225806451613</v>
      </c>
      <c r="D27" s="239">
        <f>D23/D22</f>
        <v>0.6507731958762887</v>
      </c>
      <c r="E27" s="239">
        <f>E23/E22</f>
        <v>0.7001287001287001</v>
      </c>
      <c r="F27" s="241">
        <f t="shared" si="0"/>
        <v>0.08980611948353878</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F63"/>
  <sheetViews>
    <sheetView zoomScaleSheetLayoutView="100" zoomScalePageLayoutView="0" workbookViewId="0" topLeftCell="A1">
      <selection activeCell="B6" sqref="B6:B7"/>
    </sheetView>
  </sheetViews>
  <sheetFormatPr defaultColWidth="9.00390625" defaultRowHeight="12.75"/>
  <cols>
    <col min="1" max="1" width="39.00390625" style="256" customWidth="1"/>
    <col min="2" max="2" width="10.00390625" style="256" customWidth="1"/>
    <col min="3" max="3" width="8.25390625" style="256" customWidth="1"/>
    <col min="4" max="4" width="9.625" style="256" customWidth="1"/>
    <col min="5" max="5" width="10.00390625" style="256" customWidth="1"/>
    <col min="6" max="6" width="10.375" style="256" customWidth="1"/>
    <col min="7" max="7" width="0.12890625" style="256" hidden="1" customWidth="1"/>
    <col min="8" max="8" width="0.6171875" style="256" customWidth="1"/>
    <col min="9" max="16384" width="9.125" style="256" customWidth="1"/>
  </cols>
  <sheetData>
    <row r="2" spans="1:4" ht="12">
      <c r="A2" s="404" t="s">
        <v>993</v>
      </c>
      <c r="D2" s="405">
        <f>Данные!B1</f>
        <v>0</v>
      </c>
    </row>
    <row r="4" spans="1:6" ht="49.5" customHeight="1">
      <c r="A4" s="257" t="s">
        <v>268</v>
      </c>
      <c r="B4" s="257">
        <v>2002</v>
      </c>
      <c r="C4" s="257">
        <v>2003</v>
      </c>
      <c r="D4" s="257">
        <v>2004</v>
      </c>
      <c r="E4" s="573" t="s">
        <v>955</v>
      </c>
      <c r="F4" s="573"/>
    </row>
    <row r="5" spans="1:6" ht="12">
      <c r="A5" s="574" t="s">
        <v>956</v>
      </c>
      <c r="B5" s="574"/>
      <c r="C5" s="574"/>
      <c r="D5" s="574"/>
      <c r="E5" s="574"/>
      <c r="F5" s="574"/>
    </row>
    <row r="6" spans="1:6" ht="12">
      <c r="A6" s="258" t="s">
        <v>957</v>
      </c>
      <c r="B6" s="557">
        <f>Данные!C111</f>
        <v>65747</v>
      </c>
      <c r="C6" s="557">
        <f>Данные!D111</f>
        <v>65909</v>
      </c>
      <c r="D6" s="557">
        <f>Данные!E111</f>
        <v>122618</v>
      </c>
      <c r="E6" s="557">
        <f>(C6-B6)*100/B6</f>
        <v>0.24639907524297686</v>
      </c>
      <c r="F6" s="557">
        <f>(D6-C6)*100/C6</f>
        <v>86.04136005704835</v>
      </c>
    </row>
    <row r="7" spans="1:6" ht="12">
      <c r="A7" s="259" t="s">
        <v>57</v>
      </c>
      <c r="B7" s="559"/>
      <c r="C7" s="559"/>
      <c r="D7" s="559"/>
      <c r="E7" s="559"/>
      <c r="F7" s="559"/>
    </row>
    <row r="8" spans="1:6" ht="12">
      <c r="A8" s="566" t="s">
        <v>958</v>
      </c>
      <c r="B8" s="567"/>
      <c r="C8" s="567"/>
      <c r="D8" s="567"/>
      <c r="E8" s="567"/>
      <c r="F8" s="568"/>
    </row>
    <row r="9" spans="1:6" ht="26.25" customHeight="1">
      <c r="A9" s="260" t="s">
        <v>82</v>
      </c>
      <c r="B9" s="562">
        <f>Данные!C57</f>
        <v>53120</v>
      </c>
      <c r="C9" s="562">
        <f>Данные!D57</f>
        <v>61764</v>
      </c>
      <c r="D9" s="562">
        <f>Данные!E57</f>
        <v>82477</v>
      </c>
      <c r="E9" s="552">
        <f>(C9-B9)*100/B9</f>
        <v>16.272590361445783</v>
      </c>
      <c r="F9" s="552">
        <f>(D9-C9)*100/C9</f>
        <v>33.53571659866589</v>
      </c>
    </row>
    <row r="10" spans="1:6" ht="24">
      <c r="A10" s="261" t="s">
        <v>5</v>
      </c>
      <c r="B10" s="563"/>
      <c r="C10" s="563"/>
      <c r="D10" s="563"/>
      <c r="E10" s="563"/>
      <c r="F10" s="563"/>
    </row>
    <row r="11" spans="1:6" ht="26.25" customHeight="1">
      <c r="A11" s="262" t="s">
        <v>58</v>
      </c>
      <c r="B11" s="557">
        <f>Данные!C58</f>
        <v>14703</v>
      </c>
      <c r="C11" s="557">
        <f>Данные!D58</f>
        <v>15045</v>
      </c>
      <c r="D11" s="557">
        <f>Данные!E58</f>
        <v>18525</v>
      </c>
      <c r="E11" s="548">
        <f>(C11-B11)*100/B11</f>
        <v>2.3260559069577638</v>
      </c>
      <c r="F11" s="548">
        <f>(D11-C11)*100/C11</f>
        <v>23.13060817547358</v>
      </c>
    </row>
    <row r="12" spans="1:6" ht="24">
      <c r="A12" s="261" t="s">
        <v>8</v>
      </c>
      <c r="B12" s="559"/>
      <c r="C12" s="559"/>
      <c r="D12" s="559"/>
      <c r="E12" s="559"/>
      <c r="F12" s="559"/>
    </row>
    <row r="13" spans="1:6" ht="12.75" customHeight="1">
      <c r="A13" s="262" t="s">
        <v>960</v>
      </c>
      <c r="B13" s="560">
        <f>Данные!C63</f>
        <v>775</v>
      </c>
      <c r="C13" s="560">
        <f>Данные!D63</f>
        <v>776</v>
      </c>
      <c r="D13" s="560">
        <f>Данные!E63</f>
        <v>777</v>
      </c>
      <c r="E13" s="548">
        <f>(C13-B13)*100/B13</f>
        <v>0.12903225806451613</v>
      </c>
      <c r="F13" s="548">
        <f>(D13-C13)*100/C13</f>
        <v>0.12886597938144329</v>
      </c>
    </row>
    <row r="14" spans="1:6" ht="12" customHeight="1">
      <c r="A14" s="261" t="s">
        <v>14</v>
      </c>
      <c r="B14" s="561"/>
      <c r="C14" s="561"/>
      <c r="D14" s="561"/>
      <c r="E14" s="559"/>
      <c r="F14" s="559"/>
    </row>
    <row r="15" spans="1:6" ht="24">
      <c r="A15" s="262" t="s">
        <v>961</v>
      </c>
      <c r="B15" s="557">
        <f>(Данные!C13+Данные!D13)/2</f>
        <v>76295.5</v>
      </c>
      <c r="C15" s="557">
        <f>(Данные!D13+Данные!E13)/2</f>
        <v>65024</v>
      </c>
      <c r="D15" s="557">
        <f>(Данные!E13+Данные!F13)/2</f>
        <v>52415</v>
      </c>
      <c r="E15" s="548">
        <f>(C15-B15)*100/B15</f>
        <v>-14.773479431945528</v>
      </c>
      <c r="F15" s="548">
        <f>(D15-C15)*100/C15</f>
        <v>-19.391301673228348</v>
      </c>
    </row>
    <row r="16" spans="1:6" ht="24">
      <c r="A16" s="261" t="s">
        <v>59</v>
      </c>
      <c r="B16" s="559"/>
      <c r="C16" s="559"/>
      <c r="D16" s="559"/>
      <c r="E16" s="559"/>
      <c r="F16" s="559"/>
    </row>
    <row r="17" spans="1:6" ht="24">
      <c r="A17" s="262" t="s">
        <v>60</v>
      </c>
      <c r="B17" s="557">
        <f>(Данные!C51+Данные!D51)/2</f>
        <v>96283</v>
      </c>
      <c r="C17" s="557">
        <f>(Данные!D51+Данные!E51)/2</f>
        <v>100010</v>
      </c>
      <c r="D17" s="557">
        <f>(Данные!E51+Данные!F51)/2</f>
        <v>108436</v>
      </c>
      <c r="E17" s="548">
        <f>(C17-B17)*100/B17</f>
        <v>3.870880633133575</v>
      </c>
      <c r="F17" s="548">
        <f>(D17-C17)*100/C17</f>
        <v>8.425157484251574</v>
      </c>
    </row>
    <row r="18" spans="1:6" ht="24">
      <c r="A18" s="261" t="s">
        <v>61</v>
      </c>
      <c r="B18" s="559"/>
      <c r="C18" s="559"/>
      <c r="D18" s="559"/>
      <c r="E18" s="559"/>
      <c r="F18" s="559"/>
    </row>
    <row r="19" spans="1:6" ht="24">
      <c r="A19" s="262" t="s">
        <v>963</v>
      </c>
      <c r="B19" s="557">
        <f>(Данные!C47+Данные!D47)/2</f>
        <v>58998</v>
      </c>
      <c r="C19" s="557">
        <f>(Данные!D47+Данные!E47)/2</f>
        <v>78680</v>
      </c>
      <c r="D19" s="557">
        <f>(Данные!E47+Данные!F47)/2</f>
        <v>95547.5</v>
      </c>
      <c r="E19" s="548">
        <f>(C19-B19)*100/B19</f>
        <v>33.36045289670836</v>
      </c>
      <c r="F19" s="548">
        <f>(D19-C19)*100/C19</f>
        <v>21.438103711235385</v>
      </c>
    </row>
    <row r="20" spans="1:6" ht="24">
      <c r="A20" s="261" t="s">
        <v>62</v>
      </c>
      <c r="B20" s="559"/>
      <c r="C20" s="559"/>
      <c r="D20" s="559"/>
      <c r="E20" s="549"/>
      <c r="F20" s="549"/>
    </row>
    <row r="21" spans="1:6" ht="24">
      <c r="A21" s="262" t="s">
        <v>964</v>
      </c>
      <c r="B21" s="557">
        <f>'2003'!D69</f>
        <v>110433</v>
      </c>
      <c r="C21" s="557">
        <f>'2004'!D69</f>
        <v>89189</v>
      </c>
      <c r="D21" s="557">
        <f>'2005'!D69</f>
        <v>122566</v>
      </c>
      <c r="E21" s="548">
        <f>(C21-B21)*100/B21</f>
        <v>-19.237003431945162</v>
      </c>
      <c r="F21" s="548">
        <f>(D21-C21)*100/C21</f>
        <v>37.42277635134378</v>
      </c>
    </row>
    <row r="22" spans="1:6" ht="24">
      <c r="A22" s="261" t="s">
        <v>63</v>
      </c>
      <c r="B22" s="558"/>
      <c r="C22" s="558"/>
      <c r="D22" s="558"/>
      <c r="E22" s="549"/>
      <c r="F22" s="549"/>
    </row>
    <row r="23" spans="1:6" ht="24">
      <c r="A23" s="262" t="s">
        <v>965</v>
      </c>
      <c r="B23" s="557">
        <f>Данные!C114+Данные!C118+Данные!C119</f>
        <v>55674</v>
      </c>
      <c r="C23" s="557">
        <f>Данные!D114+Данные!D118+Данные!D119</f>
        <v>56337</v>
      </c>
      <c r="D23" s="557">
        <f>Данные!E114+Данные!E118+Данные!E119</f>
        <v>94308</v>
      </c>
      <c r="E23" s="548">
        <f>(C23-B23)*100/B23</f>
        <v>1.1908610841685527</v>
      </c>
      <c r="F23" s="548">
        <f>(D23-C23)*100/C23</f>
        <v>67.39975504552959</v>
      </c>
    </row>
    <row r="24" spans="1:6" ht="36">
      <c r="A24" s="261" t="s">
        <v>64</v>
      </c>
      <c r="B24" s="558"/>
      <c r="C24" s="558"/>
      <c r="D24" s="558"/>
      <c r="E24" s="549"/>
      <c r="F24" s="549"/>
    </row>
    <row r="25" spans="1:6" ht="12">
      <c r="A25" s="575" t="s">
        <v>966</v>
      </c>
      <c r="B25" s="567"/>
      <c r="C25" s="567"/>
      <c r="D25" s="567"/>
      <c r="E25" s="567"/>
      <c r="F25" s="568"/>
    </row>
    <row r="26" spans="1:6" ht="12.75" customHeight="1">
      <c r="A26" s="263" t="s">
        <v>65</v>
      </c>
      <c r="B26" s="552">
        <f>Данные!C120</f>
        <v>10073</v>
      </c>
      <c r="C26" s="552">
        <f>Данные!D120</f>
        <v>9572</v>
      </c>
      <c r="D26" s="552">
        <f>Данные!E120</f>
        <v>28310</v>
      </c>
      <c r="E26" s="552">
        <f>(C26-B26)*100/B26</f>
        <v>-4.973692048049241</v>
      </c>
      <c r="F26" s="552">
        <f>(D26-C26)*100/C26</f>
        <v>195.75846218136232</v>
      </c>
    </row>
    <row r="27" spans="1:6" ht="12">
      <c r="A27" s="261" t="s">
        <v>66</v>
      </c>
      <c r="B27" s="552"/>
      <c r="C27" s="552"/>
      <c r="D27" s="552"/>
      <c r="E27" s="552"/>
      <c r="F27" s="552"/>
    </row>
    <row r="28" spans="1:6" ht="24">
      <c r="A28" s="262" t="s">
        <v>67</v>
      </c>
      <c r="B28" s="548">
        <f>Данные!C128</f>
        <v>16115</v>
      </c>
      <c r="C28" s="548">
        <f>Данные!D128</f>
        <v>15579</v>
      </c>
      <c r="D28" s="548">
        <f>Данные!E128</f>
        <v>37761</v>
      </c>
      <c r="E28" s="548">
        <f>(C28-B28)*100/B28</f>
        <v>-3.3260937015203225</v>
      </c>
      <c r="F28" s="548">
        <f>(D28-C28)*100/C28</f>
        <v>142.3839784325053</v>
      </c>
    </row>
    <row r="29" spans="1:6" ht="12">
      <c r="A29" s="261" t="s">
        <v>66</v>
      </c>
      <c r="B29" s="549"/>
      <c r="C29" s="549"/>
      <c r="D29" s="549"/>
      <c r="E29" s="549"/>
      <c r="F29" s="549"/>
    </row>
    <row r="30" spans="1:6" ht="12.75" customHeight="1">
      <c r="A30" s="262" t="s">
        <v>969</v>
      </c>
      <c r="B30" s="548">
        <f>Данные!C135</f>
        <v>15730</v>
      </c>
      <c r="C30" s="548">
        <f>Данные!D135</f>
        <v>15926</v>
      </c>
      <c r="D30" s="548">
        <f>Данные!E135</f>
        <v>37934</v>
      </c>
      <c r="E30" s="548">
        <f>(C30-B30)*100/B30</f>
        <v>1.246026700572155</v>
      </c>
      <c r="F30" s="548">
        <f>(D30-C30)*100/C30</f>
        <v>138.18912470174558</v>
      </c>
    </row>
    <row r="31" spans="1:6" ht="12">
      <c r="A31" s="261" t="s">
        <v>66</v>
      </c>
      <c r="B31" s="549"/>
      <c r="C31" s="549"/>
      <c r="D31" s="549"/>
      <c r="E31" s="549"/>
      <c r="F31" s="549"/>
    </row>
    <row r="32" spans="1:6" ht="12">
      <c r="A32" s="566" t="s">
        <v>970</v>
      </c>
      <c r="B32" s="567"/>
      <c r="C32" s="567"/>
      <c r="D32" s="567"/>
      <c r="E32" s="567"/>
      <c r="F32" s="568"/>
    </row>
    <row r="33" spans="1:6" ht="24">
      <c r="A33" s="260" t="s">
        <v>68</v>
      </c>
      <c r="B33" s="572">
        <f>B11/(B13*12)</f>
        <v>1.580967741935484</v>
      </c>
      <c r="C33" s="572">
        <f>C11/(C13*12)</f>
        <v>1.6156572164948453</v>
      </c>
      <c r="D33" s="572">
        <f>D11/(D13*12)</f>
        <v>1.9868082368082367</v>
      </c>
      <c r="E33" s="552">
        <f>(C33-B33)*100/B33</f>
        <v>2.1941924328508495</v>
      </c>
      <c r="F33" s="552">
        <f>(D33-C33)*100/C33</f>
        <v>22.972138924282493</v>
      </c>
    </row>
    <row r="34" spans="1:6" ht="12">
      <c r="A34" s="261" t="s">
        <v>69</v>
      </c>
      <c r="B34" s="572"/>
      <c r="C34" s="572"/>
      <c r="D34" s="572"/>
      <c r="E34" s="552"/>
      <c r="F34" s="552"/>
    </row>
    <row r="35" spans="1:6" ht="24">
      <c r="A35" s="262" t="s">
        <v>972</v>
      </c>
      <c r="B35" s="556">
        <f>B6/B13</f>
        <v>84.83483870967741</v>
      </c>
      <c r="C35" s="556">
        <f>C6/C13</f>
        <v>84.93427835051547</v>
      </c>
      <c r="D35" s="556">
        <f>D6/D13</f>
        <v>157.8095238095238</v>
      </c>
      <c r="E35" s="552">
        <f>(C35-B35)*100/B35</f>
        <v>0.11721557128004917</v>
      </c>
      <c r="F35" s="552">
        <f>(D35-C35)*100/C35</f>
        <v>85.80192458721943</v>
      </c>
    </row>
    <row r="36" spans="1:6" ht="24">
      <c r="A36" s="259" t="s">
        <v>70</v>
      </c>
      <c r="B36" s="556"/>
      <c r="C36" s="556"/>
      <c r="D36" s="556"/>
      <c r="E36" s="552"/>
      <c r="F36" s="552"/>
    </row>
    <row r="37" spans="1:6" ht="12">
      <c r="A37" s="260" t="s">
        <v>1013</v>
      </c>
      <c r="B37" s="554">
        <f>B6/B17</f>
        <v>0.6828515937392894</v>
      </c>
      <c r="C37" s="554">
        <f>C6/C17</f>
        <v>0.6590240975902409</v>
      </c>
      <c r="D37" s="554">
        <f>D6/D17</f>
        <v>1.13078682356413</v>
      </c>
      <c r="E37" s="548">
        <f>(C37-B37)*100/B37</f>
        <v>-3.4894106373200775</v>
      </c>
      <c r="F37" s="548">
        <f>(D37-C37)*100/C37</f>
        <v>71.58504942367303</v>
      </c>
    </row>
    <row r="38" spans="1:6" ht="24">
      <c r="A38" s="259" t="s">
        <v>71</v>
      </c>
      <c r="B38" s="555"/>
      <c r="C38" s="555"/>
      <c r="D38" s="555"/>
      <c r="E38" s="549"/>
      <c r="F38" s="549"/>
    </row>
    <row r="39" spans="1:6" ht="12.75" customHeight="1">
      <c r="A39" s="260" t="s">
        <v>1014</v>
      </c>
      <c r="B39" s="554">
        <f>B9/B6</f>
        <v>0.807945609685613</v>
      </c>
      <c r="C39" s="554">
        <f>C9/C6</f>
        <v>0.9371102580831145</v>
      </c>
      <c r="D39" s="554">
        <f>D9/D6</f>
        <v>0.6726337079384755</v>
      </c>
      <c r="E39" s="548">
        <f>(C39-B39)*100/B39</f>
        <v>15.98679995894302</v>
      </c>
      <c r="F39" s="548">
        <f>(D39-C39)*100/C39</f>
        <v>-28.222564833046782</v>
      </c>
    </row>
    <row r="40" spans="1:6" ht="24">
      <c r="A40" s="261" t="s">
        <v>72</v>
      </c>
      <c r="B40" s="555"/>
      <c r="C40" s="555"/>
      <c r="D40" s="555"/>
      <c r="E40" s="549"/>
      <c r="F40" s="549"/>
    </row>
    <row r="41" spans="1:6" ht="24">
      <c r="A41" s="262" t="s">
        <v>1015</v>
      </c>
      <c r="B41" s="554">
        <f>B6/B19</f>
        <v>1.114393708261297</v>
      </c>
      <c r="C41" s="554">
        <f>C6/C19</f>
        <v>0.8376842907981698</v>
      </c>
      <c r="D41" s="554">
        <f>D6/D19</f>
        <v>1.283319814751825</v>
      </c>
      <c r="E41" s="548">
        <f>(C41-B41)*100/B41</f>
        <v>-24.83048992576023</v>
      </c>
      <c r="F41" s="548">
        <f>(D41-C41)*100/C41</f>
        <v>53.19850555261588</v>
      </c>
    </row>
    <row r="42" spans="1:6" ht="12">
      <c r="A42" s="261" t="s">
        <v>73</v>
      </c>
      <c r="B42" s="555"/>
      <c r="C42" s="555"/>
      <c r="D42" s="555"/>
      <c r="E42" s="549"/>
      <c r="F42" s="549"/>
    </row>
    <row r="43" spans="1:6" ht="12.75" customHeight="1">
      <c r="A43" s="262" t="s">
        <v>1016</v>
      </c>
      <c r="B43" s="554">
        <f>B23/B6</f>
        <v>0.8467914885850305</v>
      </c>
      <c r="C43" s="554">
        <f>C23/C6</f>
        <v>0.8547694548544205</v>
      </c>
      <c r="D43" s="554">
        <f>D23/D6</f>
        <v>0.7691203575331518</v>
      </c>
      <c r="E43" s="548">
        <f>(C43-B43)*100/B43</f>
        <v>0.942140583240977</v>
      </c>
      <c r="F43" s="548">
        <f>(D43-C43)*100/C43</f>
        <v>-10.020140148299514</v>
      </c>
    </row>
    <row r="44" spans="1:6" ht="12">
      <c r="A44" s="261" t="s">
        <v>74</v>
      </c>
      <c r="B44" s="555"/>
      <c r="C44" s="555"/>
      <c r="D44" s="555"/>
      <c r="E44" s="549"/>
      <c r="F44" s="549"/>
    </row>
    <row r="45" spans="1:6" ht="12.75" customHeight="1">
      <c r="A45" s="262" t="s">
        <v>1017</v>
      </c>
      <c r="B45" s="554">
        <f>B26/B6*100</f>
        <v>15.320851141496949</v>
      </c>
      <c r="C45" s="554">
        <f>C26/C6*100</f>
        <v>14.52305451455795</v>
      </c>
      <c r="D45" s="554">
        <f>D26/D6*100</f>
        <v>23.087964246684827</v>
      </c>
      <c r="E45" s="548">
        <f>(C45-B45)*100/B45</f>
        <v>-5.207260481620007</v>
      </c>
      <c r="F45" s="548">
        <f>(D45-C45)*100/C45</f>
        <v>58.97457537972737</v>
      </c>
    </row>
    <row r="46" spans="1:6" ht="12">
      <c r="A46" s="261" t="s">
        <v>75</v>
      </c>
      <c r="B46" s="555"/>
      <c r="C46" s="555"/>
      <c r="D46" s="555"/>
      <c r="E46" s="549"/>
      <c r="F46" s="549"/>
    </row>
    <row r="47" spans="1:6" ht="12">
      <c r="A47" s="262" t="s">
        <v>1018</v>
      </c>
      <c r="B47" s="554">
        <f>Данные!C135*2*100/(Данные!C48+Данные!D48)</f>
        <v>11.62657481697199</v>
      </c>
      <c r="C47" s="554">
        <f>Данные!D135*2*100/(Данные!D48+Данные!E48)</f>
        <v>11.082502922674387</v>
      </c>
      <c r="D47" s="554">
        <f>Данные!E135*2*100/(Данные!E48+Данные!F48)</f>
        <v>25.63757708878939</v>
      </c>
      <c r="E47" s="548">
        <f>(C47-B47)*100/B47</f>
        <v>-4.679554407574879</v>
      </c>
      <c r="F47" s="548">
        <f>(D47-C47)*100/C47</f>
        <v>131.33381752903367</v>
      </c>
    </row>
    <row r="48" spans="1:6" ht="12">
      <c r="A48" s="261" t="s">
        <v>76</v>
      </c>
      <c r="B48" s="555"/>
      <c r="C48" s="555"/>
      <c r="D48" s="555"/>
      <c r="E48" s="549"/>
      <c r="F48" s="549"/>
    </row>
    <row r="49" spans="1:6" ht="12">
      <c r="A49" s="569" t="s">
        <v>1019</v>
      </c>
      <c r="B49" s="570"/>
      <c r="C49" s="570"/>
      <c r="D49" s="570"/>
      <c r="E49" s="570"/>
      <c r="F49" s="571"/>
    </row>
    <row r="50" spans="1:6" ht="12.75" customHeight="1">
      <c r="A50" s="265" t="s">
        <v>1020</v>
      </c>
      <c r="B50" s="553">
        <f>'2003'!D95</f>
        <v>0.7536288258777767</v>
      </c>
      <c r="C50" s="553">
        <f>'2005'!D95</f>
        <v>0.7904831927353404</v>
      </c>
      <c r="D50" s="553">
        <f>'2005'!D95</f>
        <v>0.7904831927353404</v>
      </c>
      <c r="E50" s="552">
        <f>(C50-B50)*100/B50</f>
        <v>4.890254405361711</v>
      </c>
      <c r="F50" s="552">
        <f>(D50-C50)*100/C50</f>
        <v>0</v>
      </c>
    </row>
    <row r="51" spans="1:6" ht="36">
      <c r="A51" s="261" t="s">
        <v>4</v>
      </c>
      <c r="B51" s="553"/>
      <c r="C51" s="553"/>
      <c r="D51" s="553"/>
      <c r="E51" s="552"/>
      <c r="F51" s="552"/>
    </row>
    <row r="52" spans="1:6" ht="12.75" customHeight="1">
      <c r="A52" s="262" t="s">
        <v>1021</v>
      </c>
      <c r="B52" s="550">
        <f>Платежеспособность!F37</f>
        <v>0.006774149844194554</v>
      </c>
      <c r="C52" s="550">
        <f>Платежеспособность!G37</f>
        <v>0.2122920850713219</v>
      </c>
      <c r="D52" s="550">
        <f>Платежеспособность!H37</f>
        <v>0.01768966322886419</v>
      </c>
      <c r="E52" s="548">
        <f>(C52-B52)*100/B52</f>
        <v>3033.855759822854</v>
      </c>
      <c r="F52" s="548">
        <f>(D52-C52)*100/C52</f>
        <v>-91.66729969093235</v>
      </c>
    </row>
    <row r="53" spans="1:6" ht="24">
      <c r="A53" s="261" t="s">
        <v>77</v>
      </c>
      <c r="B53" s="551"/>
      <c r="C53" s="551"/>
      <c r="D53" s="551"/>
      <c r="E53" s="549"/>
      <c r="F53" s="549"/>
    </row>
    <row r="54" spans="1:6" ht="14.25" customHeight="1">
      <c r="A54" s="262" t="s">
        <v>1022</v>
      </c>
      <c r="B54" s="550">
        <f>Платежеспособность!F39</f>
        <v>2.312118954071264</v>
      </c>
      <c r="C54" s="550">
        <f>Платежеспособность!G39</f>
        <v>2.2940676656882433</v>
      </c>
      <c r="D54" s="550">
        <f>Платежеспособность!H39</f>
        <v>3.4043590000333768</v>
      </c>
      <c r="E54" s="548">
        <f>(C54-B54)*100/B54</f>
        <v>-0.7807248996093157</v>
      </c>
      <c r="F54" s="548">
        <f>(D54-C54)*100/C54</f>
        <v>48.39836901724671</v>
      </c>
    </row>
    <row r="55" spans="1:6" ht="24">
      <c r="A55" s="261" t="s">
        <v>78</v>
      </c>
      <c r="B55" s="551"/>
      <c r="C55" s="551"/>
      <c r="D55" s="551"/>
      <c r="E55" s="549"/>
      <c r="F55" s="549"/>
    </row>
    <row r="56" spans="1:6" ht="24">
      <c r="A56" s="262" t="s">
        <v>1023</v>
      </c>
      <c r="B56" s="550">
        <f>Платежеспособность!F22</f>
        <v>0.47113370347040123</v>
      </c>
      <c r="C56" s="550">
        <f>Платежеспособность!G22</f>
        <v>0.4199131283881612</v>
      </c>
      <c r="D56" s="550">
        <f>Платежеспособность!H22</f>
        <v>0.6815035588933116</v>
      </c>
      <c r="E56" s="548">
        <f>(C56-B56)*100/B56</f>
        <v>-10.871770519694511</v>
      </c>
      <c r="F56" s="548">
        <f>(D56-C56)*100/C56</f>
        <v>62.29632102936783</v>
      </c>
    </row>
    <row r="57" spans="1:6" ht="24">
      <c r="A57" s="261" t="s">
        <v>79</v>
      </c>
      <c r="B57" s="551"/>
      <c r="C57" s="551"/>
      <c r="D57" s="551"/>
      <c r="E57" s="549"/>
      <c r="F57" s="549"/>
    </row>
    <row r="59" spans="1:6" ht="112.5" customHeight="1">
      <c r="A59" s="564" t="s">
        <v>18</v>
      </c>
      <c r="B59" s="564"/>
      <c r="C59" s="564"/>
      <c r="D59" s="564"/>
      <c r="E59" s="564"/>
      <c r="F59" s="564"/>
    </row>
    <row r="60" spans="1:6" ht="6" customHeight="1">
      <c r="A60" s="264"/>
      <c r="B60" s="264"/>
      <c r="C60" s="264"/>
      <c r="D60" s="264"/>
      <c r="E60" s="264"/>
      <c r="F60" s="264"/>
    </row>
    <row r="61" spans="1:6" ht="136.5" customHeight="1">
      <c r="A61" s="547" t="s">
        <v>13</v>
      </c>
      <c r="B61" s="547"/>
      <c r="C61" s="547"/>
      <c r="D61" s="547"/>
      <c r="E61" s="547"/>
      <c r="F61" s="547"/>
    </row>
    <row r="62" spans="1:6" ht="129" customHeight="1">
      <c r="A62" s="264"/>
      <c r="B62" s="264"/>
      <c r="C62" s="264"/>
      <c r="D62" s="264"/>
      <c r="E62" s="264"/>
      <c r="F62" s="264"/>
    </row>
    <row r="63" spans="1:6" ht="240.75" customHeight="1">
      <c r="A63" s="565"/>
      <c r="B63" s="565"/>
      <c r="C63" s="565"/>
      <c r="D63" s="565"/>
      <c r="E63" s="565"/>
      <c r="F63" s="565"/>
    </row>
  </sheetData>
  <sheetProtection/>
  <mergeCells count="129">
    <mergeCell ref="B9:B10"/>
    <mergeCell ref="B35:B36"/>
    <mergeCell ref="E4:F4"/>
    <mergeCell ref="A5:F5"/>
    <mergeCell ref="A8:F8"/>
    <mergeCell ref="A25:F25"/>
    <mergeCell ref="B6:B7"/>
    <mergeCell ref="C6:C7"/>
    <mergeCell ref="D6:D7"/>
    <mergeCell ref="E6:E7"/>
    <mergeCell ref="F6:F7"/>
    <mergeCell ref="F9:F10"/>
    <mergeCell ref="A59:F59"/>
    <mergeCell ref="A63:F63"/>
    <mergeCell ref="A32:F32"/>
    <mergeCell ref="A49:F49"/>
    <mergeCell ref="B33:B34"/>
    <mergeCell ref="C33:C34"/>
    <mergeCell ref="D33:D34"/>
    <mergeCell ref="E33:E34"/>
    <mergeCell ref="C9:C10"/>
    <mergeCell ref="D9:D10"/>
    <mergeCell ref="E9:E10"/>
    <mergeCell ref="E15:E16"/>
    <mergeCell ref="F11:F12"/>
    <mergeCell ref="F13:F14"/>
    <mergeCell ref="F15:F16"/>
    <mergeCell ref="B13:B14"/>
    <mergeCell ref="C13:C14"/>
    <mergeCell ref="D13:D14"/>
    <mergeCell ref="E13:E14"/>
    <mergeCell ref="F33:F34"/>
    <mergeCell ref="E11:E12"/>
    <mergeCell ref="F17:F18"/>
    <mergeCell ref="B11:B12"/>
    <mergeCell ref="C11:C12"/>
    <mergeCell ref="D11:D12"/>
    <mergeCell ref="E19:E20"/>
    <mergeCell ref="B17:B18"/>
    <mergeCell ref="C17:C18"/>
    <mergeCell ref="D17:D18"/>
    <mergeCell ref="E17:E18"/>
    <mergeCell ref="B15:B16"/>
    <mergeCell ref="C15:C16"/>
    <mergeCell ref="D15:D16"/>
    <mergeCell ref="E23:E24"/>
    <mergeCell ref="F19:F20"/>
    <mergeCell ref="B21:B22"/>
    <mergeCell ref="C21:C22"/>
    <mergeCell ref="D21:D22"/>
    <mergeCell ref="E21:E22"/>
    <mergeCell ref="F21:F22"/>
    <mergeCell ref="B19:B20"/>
    <mergeCell ref="C19:C20"/>
    <mergeCell ref="D19:D20"/>
    <mergeCell ref="E28:E29"/>
    <mergeCell ref="F23:F24"/>
    <mergeCell ref="B26:B27"/>
    <mergeCell ref="C26:C27"/>
    <mergeCell ref="D26:D27"/>
    <mergeCell ref="E26:E27"/>
    <mergeCell ref="F26:F27"/>
    <mergeCell ref="B23:B24"/>
    <mergeCell ref="C23:C24"/>
    <mergeCell ref="F35:F36"/>
    <mergeCell ref="F28:F29"/>
    <mergeCell ref="B30:B31"/>
    <mergeCell ref="C30:C31"/>
    <mergeCell ref="D30:D31"/>
    <mergeCell ref="E30:E31"/>
    <mergeCell ref="F30:F31"/>
    <mergeCell ref="B28:B29"/>
    <mergeCell ref="C28:C29"/>
    <mergeCell ref="D28:D29"/>
    <mergeCell ref="E37:E38"/>
    <mergeCell ref="C35:C36"/>
    <mergeCell ref="D35:D36"/>
    <mergeCell ref="E35:E36"/>
    <mergeCell ref="D23:D24"/>
    <mergeCell ref="E41:E42"/>
    <mergeCell ref="F37:F38"/>
    <mergeCell ref="B39:B40"/>
    <mergeCell ref="C39:C40"/>
    <mergeCell ref="D39:D40"/>
    <mergeCell ref="E39:E40"/>
    <mergeCell ref="F39:F40"/>
    <mergeCell ref="B37:B38"/>
    <mergeCell ref="C37:C38"/>
    <mergeCell ref="D37:D38"/>
    <mergeCell ref="E45:E46"/>
    <mergeCell ref="F41:F42"/>
    <mergeCell ref="B43:B44"/>
    <mergeCell ref="C43:C44"/>
    <mergeCell ref="D43:D44"/>
    <mergeCell ref="E43:E44"/>
    <mergeCell ref="F43:F44"/>
    <mergeCell ref="B41:B42"/>
    <mergeCell ref="C41:C42"/>
    <mergeCell ref="D41:D42"/>
    <mergeCell ref="E50:E51"/>
    <mergeCell ref="F45:F46"/>
    <mergeCell ref="B47:B48"/>
    <mergeCell ref="C47:C48"/>
    <mergeCell ref="D47:D48"/>
    <mergeCell ref="E47:E48"/>
    <mergeCell ref="F47:F48"/>
    <mergeCell ref="B45:B46"/>
    <mergeCell ref="C45:C46"/>
    <mergeCell ref="D45:D46"/>
    <mergeCell ref="E54:E55"/>
    <mergeCell ref="F50:F51"/>
    <mergeCell ref="B52:B53"/>
    <mergeCell ref="C52:C53"/>
    <mergeCell ref="D52:D53"/>
    <mergeCell ref="E52:E53"/>
    <mergeCell ref="F52:F53"/>
    <mergeCell ref="B50:B51"/>
    <mergeCell ref="C50:C51"/>
    <mergeCell ref="D50:D51"/>
    <mergeCell ref="A61:F61"/>
    <mergeCell ref="F54:F55"/>
    <mergeCell ref="B56:B57"/>
    <mergeCell ref="C56:C57"/>
    <mergeCell ref="D56:D57"/>
    <mergeCell ref="E56:E57"/>
    <mergeCell ref="F56:F57"/>
    <mergeCell ref="B54:B55"/>
    <mergeCell ref="C54:C55"/>
    <mergeCell ref="D54:D55"/>
  </mergeCells>
  <printOptions/>
  <pageMargins left="0.75" right="0.75" top="1" bottom="1" header="0.5" footer="0.5"/>
  <pageSetup horizontalDpi="600" verticalDpi="600" orientation="portrait" paperSize="9" r:id="rId1"/>
  <rowBreaks count="1" manualBreakCount="1">
    <brk id="31" max="255" man="1"/>
  </rowBreaks>
</worksheet>
</file>

<file path=xl/worksheets/sheet5.xml><?xml version="1.0" encoding="utf-8"?>
<worksheet xmlns="http://schemas.openxmlformats.org/spreadsheetml/2006/main" xmlns:r="http://schemas.openxmlformats.org/officeDocument/2006/relationships">
  <dimension ref="A2:F33"/>
  <sheetViews>
    <sheetView zoomScaleSheetLayoutView="50" zoomScalePageLayoutView="0" workbookViewId="0" topLeftCell="A1">
      <selection activeCell="A2" sqref="A2"/>
    </sheetView>
  </sheetViews>
  <sheetFormatPr defaultColWidth="9.00390625" defaultRowHeight="12.75"/>
  <cols>
    <col min="1" max="1" width="39.00390625" style="214" customWidth="1"/>
    <col min="2" max="2" width="10.00390625" style="214" customWidth="1"/>
    <col min="3" max="3" width="8.25390625" style="214" customWidth="1"/>
    <col min="4" max="4" width="8.375" style="214" customWidth="1"/>
    <col min="5" max="5" width="8.125" style="214" customWidth="1"/>
    <col min="6" max="6" width="8.75390625" style="214" customWidth="1"/>
    <col min="7" max="16384" width="9.125" style="214" customWidth="1"/>
  </cols>
  <sheetData>
    <row r="2" spans="1:6" ht="12.75">
      <c r="A2" s="243" t="s">
        <v>994</v>
      </c>
      <c r="B2" s="244"/>
      <c r="C2" s="244"/>
      <c r="D2" s="406">
        <f>Данные!B1</f>
        <v>0</v>
      </c>
      <c r="E2" s="244"/>
      <c r="F2" s="244"/>
    </row>
    <row r="3" spans="1:6" ht="12.75">
      <c r="A3" s="244"/>
      <c r="B3" s="244"/>
      <c r="C3" s="244"/>
      <c r="D3" s="244"/>
      <c r="E3" s="244"/>
      <c r="F3" s="244"/>
    </row>
    <row r="4" spans="1:6" ht="49.5" customHeight="1">
      <c r="A4" s="245" t="s">
        <v>268</v>
      </c>
      <c r="B4" s="245">
        <v>2002</v>
      </c>
      <c r="C4" s="245">
        <v>2003</v>
      </c>
      <c r="D4" s="245">
        <v>2004</v>
      </c>
      <c r="E4" s="579" t="s">
        <v>955</v>
      </c>
      <c r="F4" s="579"/>
    </row>
    <row r="5" spans="1:6" ht="12.75">
      <c r="A5" s="580" t="s">
        <v>956</v>
      </c>
      <c r="B5" s="580"/>
      <c r="C5" s="580"/>
      <c r="D5" s="580"/>
      <c r="E5" s="580"/>
      <c r="F5" s="580"/>
    </row>
    <row r="6" spans="1:6" ht="12.75">
      <c r="A6" s="246" t="s">
        <v>957</v>
      </c>
      <c r="B6" s="247">
        <f>Данные!C111</f>
        <v>65747</v>
      </c>
      <c r="C6" s="247">
        <f>Данные!D111</f>
        <v>65909</v>
      </c>
      <c r="D6" s="247">
        <f>Данные!E111</f>
        <v>122618</v>
      </c>
      <c r="E6" s="247">
        <f>(C6-B6)*100/B6</f>
        <v>0.24639907524297686</v>
      </c>
      <c r="F6" s="247">
        <f>(D6-C6)*100/C6</f>
        <v>86.04136005704835</v>
      </c>
    </row>
    <row r="7" spans="1:6" ht="12.75">
      <c r="A7" s="581" t="s">
        <v>958</v>
      </c>
      <c r="B7" s="582"/>
      <c r="C7" s="582"/>
      <c r="D7" s="582"/>
      <c r="E7" s="582"/>
      <c r="F7" s="583"/>
    </row>
    <row r="8" spans="1:6" ht="24.75" customHeight="1">
      <c r="A8" s="248" t="s">
        <v>82</v>
      </c>
      <c r="B8" s="249">
        <f>Данные!C57</f>
        <v>53120</v>
      </c>
      <c r="C8" s="249">
        <f>Данные!D57</f>
        <v>61764</v>
      </c>
      <c r="D8" s="249">
        <f>Данные!E57</f>
        <v>82477</v>
      </c>
      <c r="E8" s="250">
        <f>(C8-B8)*100/B8</f>
        <v>16.272590361445783</v>
      </c>
      <c r="F8" s="250">
        <f>(D8-C8)*100/C8</f>
        <v>33.53571659866589</v>
      </c>
    </row>
    <row r="9" spans="1:6" ht="25.5">
      <c r="A9" s="248" t="s">
        <v>959</v>
      </c>
      <c r="B9" s="249">
        <f>Данные!C58</f>
        <v>14703</v>
      </c>
      <c r="C9" s="249">
        <f>Данные!D58</f>
        <v>15045</v>
      </c>
      <c r="D9" s="249">
        <f>Данные!E58</f>
        <v>18525</v>
      </c>
      <c r="E9" s="250">
        <f aca="true" t="shared" si="0" ref="E9:F15">(C9-B9)*100/B9</f>
        <v>2.3260559069577638</v>
      </c>
      <c r="F9" s="250">
        <f t="shared" si="0"/>
        <v>23.13060817547358</v>
      </c>
    </row>
    <row r="10" spans="1:6" ht="25.5">
      <c r="A10" s="248" t="s">
        <v>960</v>
      </c>
      <c r="B10" s="249">
        <f>Данные!C63</f>
        <v>775</v>
      </c>
      <c r="C10" s="249">
        <f>Данные!D63</f>
        <v>776</v>
      </c>
      <c r="D10" s="249">
        <f>Данные!E63</f>
        <v>777</v>
      </c>
      <c r="E10" s="250">
        <f t="shared" si="0"/>
        <v>0.12903225806451613</v>
      </c>
      <c r="F10" s="250">
        <f t="shared" si="0"/>
        <v>0.12886597938144329</v>
      </c>
    </row>
    <row r="11" spans="1:6" ht="24.75" customHeight="1">
      <c r="A11" s="248" t="s">
        <v>961</v>
      </c>
      <c r="B11" s="249">
        <f>(Данные!C13+Данные!D13)/2</f>
        <v>76295.5</v>
      </c>
      <c r="C11" s="249">
        <f>(Данные!D13+Данные!E13)/2</f>
        <v>65024</v>
      </c>
      <c r="D11" s="249">
        <f>(Данные!E13+Данные!F13)/2</f>
        <v>52415</v>
      </c>
      <c r="E11" s="250">
        <f t="shared" si="0"/>
        <v>-14.773479431945528</v>
      </c>
      <c r="F11" s="250">
        <f t="shared" si="0"/>
        <v>-19.391301673228348</v>
      </c>
    </row>
    <row r="12" spans="1:6" ht="24" customHeight="1">
      <c r="A12" s="248" t="s">
        <v>1024</v>
      </c>
      <c r="B12" s="249">
        <f>(Данные!C51+Данные!D51)/2</f>
        <v>96283</v>
      </c>
      <c r="C12" s="249">
        <f>(Данные!D51+Данные!E51)/2</f>
        <v>100010</v>
      </c>
      <c r="D12" s="249">
        <f>(Данные!E51+Данные!F51)/2</f>
        <v>108436</v>
      </c>
      <c r="E12" s="250">
        <f t="shared" si="0"/>
        <v>3.870880633133575</v>
      </c>
      <c r="F12" s="250">
        <f t="shared" si="0"/>
        <v>8.425157484251574</v>
      </c>
    </row>
    <row r="13" spans="1:6" ht="25.5">
      <c r="A13" s="248" t="s">
        <v>963</v>
      </c>
      <c r="B13" s="249">
        <f>(Данные!C47+Данные!D47)/2</f>
        <v>58998</v>
      </c>
      <c r="C13" s="249">
        <f>(Данные!D47+Данные!E47)/2</f>
        <v>78680</v>
      </c>
      <c r="D13" s="249">
        <f>(Данные!E47+Данные!F47)/2</f>
        <v>95547.5</v>
      </c>
      <c r="E13" s="250">
        <f t="shared" si="0"/>
        <v>33.36045289670836</v>
      </c>
      <c r="F13" s="250">
        <f t="shared" si="0"/>
        <v>21.438103711235385</v>
      </c>
    </row>
    <row r="14" spans="1:6" ht="25.5">
      <c r="A14" s="248" t="s">
        <v>964</v>
      </c>
      <c r="B14" s="249">
        <f>'2003'!D69</f>
        <v>110433</v>
      </c>
      <c r="C14" s="249">
        <f>'2004'!D69</f>
        <v>89189</v>
      </c>
      <c r="D14" s="249">
        <f>'2005'!D69</f>
        <v>122566</v>
      </c>
      <c r="E14" s="250">
        <f t="shared" si="0"/>
        <v>-19.237003431945162</v>
      </c>
      <c r="F14" s="250">
        <f t="shared" si="0"/>
        <v>37.42277635134378</v>
      </c>
    </row>
    <row r="15" spans="1:6" ht="25.5">
      <c r="A15" s="248" t="s">
        <v>965</v>
      </c>
      <c r="B15" s="249">
        <f>Данные!C114+Данные!C118+Данные!C119</f>
        <v>55674</v>
      </c>
      <c r="C15" s="249">
        <f>Данные!D114+Данные!D118+Данные!D119</f>
        <v>56337</v>
      </c>
      <c r="D15" s="249">
        <f>Данные!E114+Данные!E118+Данные!E119</f>
        <v>94308</v>
      </c>
      <c r="E15" s="250">
        <f t="shared" si="0"/>
        <v>1.1908610841685527</v>
      </c>
      <c r="F15" s="250">
        <f t="shared" si="0"/>
        <v>67.39975504552959</v>
      </c>
    </row>
    <row r="16" spans="1:6" ht="12.75">
      <c r="A16" s="584" t="s">
        <v>966</v>
      </c>
      <c r="B16" s="582"/>
      <c r="C16" s="582"/>
      <c r="D16" s="582"/>
      <c r="E16" s="582"/>
      <c r="F16" s="583"/>
    </row>
    <row r="17" spans="1:6" ht="12.75">
      <c r="A17" s="246" t="s">
        <v>967</v>
      </c>
      <c r="B17" s="250">
        <f>Данные!C120</f>
        <v>10073</v>
      </c>
      <c r="C17" s="250">
        <f>Данные!D120</f>
        <v>9572</v>
      </c>
      <c r="D17" s="250">
        <f>Данные!E120</f>
        <v>28310</v>
      </c>
      <c r="E17" s="250">
        <f aca="true" t="shared" si="1" ref="E17:F19">(C17-B17)*100/B17</f>
        <v>-4.973692048049241</v>
      </c>
      <c r="F17" s="250">
        <f t="shared" si="1"/>
        <v>195.75846218136232</v>
      </c>
    </row>
    <row r="18" spans="1:6" ht="25.5">
      <c r="A18" s="248" t="s">
        <v>968</v>
      </c>
      <c r="B18" s="250">
        <f>Данные!C128</f>
        <v>16115</v>
      </c>
      <c r="C18" s="250">
        <f>Данные!D128</f>
        <v>15579</v>
      </c>
      <c r="D18" s="250">
        <f>Данные!E128</f>
        <v>37761</v>
      </c>
      <c r="E18" s="250">
        <f t="shared" si="1"/>
        <v>-3.3260937015203225</v>
      </c>
      <c r="F18" s="250">
        <f t="shared" si="1"/>
        <v>142.3839784325053</v>
      </c>
    </row>
    <row r="19" spans="1:6" ht="12.75">
      <c r="A19" s="246" t="s">
        <v>969</v>
      </c>
      <c r="B19" s="250">
        <f>Данные!C135</f>
        <v>15730</v>
      </c>
      <c r="C19" s="250">
        <f>Данные!D135</f>
        <v>15926</v>
      </c>
      <c r="D19" s="250">
        <f>Данные!E135</f>
        <v>37934</v>
      </c>
      <c r="E19" s="250">
        <f t="shared" si="1"/>
        <v>1.246026700572155</v>
      </c>
      <c r="F19" s="250">
        <f t="shared" si="1"/>
        <v>138.18912470174558</v>
      </c>
    </row>
    <row r="20" spans="1:6" ht="12.75">
      <c r="A20" s="581" t="s">
        <v>970</v>
      </c>
      <c r="B20" s="582"/>
      <c r="C20" s="582"/>
      <c r="D20" s="582"/>
      <c r="E20" s="582"/>
      <c r="F20" s="583"/>
    </row>
    <row r="21" spans="1:6" ht="25.5">
      <c r="A21" s="251" t="s">
        <v>971</v>
      </c>
      <c r="B21" s="252">
        <f>B9/(B10*12)</f>
        <v>1.580967741935484</v>
      </c>
      <c r="C21" s="252">
        <f>C9/(C10*12)</f>
        <v>1.6156572164948453</v>
      </c>
      <c r="D21" s="252">
        <f>D9/(D10*12)</f>
        <v>1.9868082368082367</v>
      </c>
      <c r="E21" s="250">
        <f>(C21-B21)*100/B21</f>
        <v>2.1941924328508495</v>
      </c>
      <c r="F21" s="250">
        <f>(D21-C21)*100/C21</f>
        <v>22.972138924282493</v>
      </c>
    </row>
    <row r="22" spans="1:6" ht="25.5">
      <c r="A22" s="248" t="s">
        <v>972</v>
      </c>
      <c r="B22" s="253">
        <f>B6/B10</f>
        <v>84.83483870967741</v>
      </c>
      <c r="C22" s="253">
        <f>C6/C10</f>
        <v>84.93427835051547</v>
      </c>
      <c r="D22" s="253">
        <f>D6/D10</f>
        <v>157.8095238095238</v>
      </c>
      <c r="E22" s="250">
        <f aca="true" t="shared" si="2" ref="E22:E28">(C22-B22)*100/B22</f>
        <v>0.11721557128004917</v>
      </c>
      <c r="F22" s="250">
        <f aca="true" t="shared" si="3" ref="F22:F28">(D22-C22)*100/C22</f>
        <v>85.80192458721943</v>
      </c>
    </row>
    <row r="23" spans="1:6" ht="25.5">
      <c r="A23" s="248" t="s">
        <v>1013</v>
      </c>
      <c r="B23" s="253">
        <f>B6/B12</f>
        <v>0.6828515937392894</v>
      </c>
      <c r="C23" s="253">
        <f>C6/C12</f>
        <v>0.6590240975902409</v>
      </c>
      <c r="D23" s="253">
        <f>D6/D12</f>
        <v>1.13078682356413</v>
      </c>
      <c r="E23" s="250">
        <f t="shared" si="2"/>
        <v>-3.4894106373200775</v>
      </c>
      <c r="F23" s="250">
        <f t="shared" si="3"/>
        <v>71.58504942367303</v>
      </c>
    </row>
    <row r="24" spans="1:6" ht="12.75">
      <c r="A24" s="246" t="s">
        <v>1014</v>
      </c>
      <c r="B24" s="253">
        <f>B8/B6</f>
        <v>0.807945609685613</v>
      </c>
      <c r="C24" s="253">
        <f>C8/C6</f>
        <v>0.9371102580831145</v>
      </c>
      <c r="D24" s="253">
        <f>D8/D6</f>
        <v>0.6726337079384755</v>
      </c>
      <c r="E24" s="250">
        <f t="shared" si="2"/>
        <v>15.98679995894302</v>
      </c>
      <c r="F24" s="250">
        <f t="shared" si="3"/>
        <v>-28.222564833046782</v>
      </c>
    </row>
    <row r="25" spans="1:6" ht="25.5">
      <c r="A25" s="248" t="s">
        <v>1015</v>
      </c>
      <c r="B25" s="253">
        <f>B6/B13</f>
        <v>1.114393708261297</v>
      </c>
      <c r="C25" s="253">
        <f>C6/C13</f>
        <v>0.8376842907981698</v>
      </c>
      <c r="D25" s="253">
        <f>D6/D13</f>
        <v>1.283319814751825</v>
      </c>
      <c r="E25" s="250">
        <f t="shared" si="2"/>
        <v>-24.83048992576023</v>
      </c>
      <c r="F25" s="250">
        <f t="shared" si="3"/>
        <v>53.19850555261588</v>
      </c>
    </row>
    <row r="26" spans="1:6" ht="12.75">
      <c r="A26" s="246" t="s">
        <v>1016</v>
      </c>
      <c r="B26" s="253">
        <f>B15/B6</f>
        <v>0.8467914885850305</v>
      </c>
      <c r="C26" s="253">
        <f>C15/C6</f>
        <v>0.8547694548544205</v>
      </c>
      <c r="D26" s="253">
        <f>D15/D6</f>
        <v>0.7691203575331518</v>
      </c>
      <c r="E26" s="250">
        <f t="shared" si="2"/>
        <v>0.942140583240977</v>
      </c>
      <c r="F26" s="250">
        <f t="shared" si="3"/>
        <v>-10.020140148299514</v>
      </c>
    </row>
    <row r="27" spans="1:6" ht="12.75">
      <c r="A27" s="246" t="s">
        <v>1017</v>
      </c>
      <c r="B27" s="253">
        <f>B17/B6*100</f>
        <v>15.320851141496949</v>
      </c>
      <c r="C27" s="253">
        <f>C17/C6*100</f>
        <v>14.52305451455795</v>
      </c>
      <c r="D27" s="253">
        <f>D17/D6*100</f>
        <v>23.087964246684827</v>
      </c>
      <c r="E27" s="250">
        <f t="shared" si="2"/>
        <v>-5.207260481620007</v>
      </c>
      <c r="F27" s="250">
        <f t="shared" si="3"/>
        <v>58.97457537972737</v>
      </c>
    </row>
    <row r="28" spans="1:6" ht="25.5">
      <c r="A28" s="248" t="s">
        <v>1018</v>
      </c>
      <c r="B28" s="253">
        <f>Данные!C135*2*100/(Данные!C48+Данные!D48)</f>
        <v>11.62657481697199</v>
      </c>
      <c r="C28" s="253">
        <f>Данные!D135*2*100/(Данные!D48+Данные!E48)</f>
        <v>11.082502922674387</v>
      </c>
      <c r="D28" s="253">
        <f>Данные!E135*2*100/(Данные!E48+Данные!F48)</f>
        <v>25.63757708878939</v>
      </c>
      <c r="E28" s="250">
        <f t="shared" si="2"/>
        <v>-4.679554407574879</v>
      </c>
      <c r="F28" s="250">
        <f t="shared" si="3"/>
        <v>131.33381752903367</v>
      </c>
    </row>
    <row r="29" spans="1:6" ht="12.75">
      <c r="A29" s="576" t="s">
        <v>1019</v>
      </c>
      <c r="B29" s="577"/>
      <c r="C29" s="577"/>
      <c r="D29" s="577"/>
      <c r="E29" s="577"/>
      <c r="F29" s="578"/>
    </row>
    <row r="30" spans="1:6" ht="12.75">
      <c r="A30" s="251" t="s">
        <v>1020</v>
      </c>
      <c r="B30" s="254">
        <f>'2003'!D95</f>
        <v>0.7536288258777767</v>
      </c>
      <c r="C30" s="254">
        <f>'2005'!D95</f>
        <v>0.7904831927353404</v>
      </c>
      <c r="D30" s="254">
        <f>'2005'!D95</f>
        <v>0.7904831927353404</v>
      </c>
      <c r="E30" s="255">
        <f aca="true" t="shared" si="4" ref="E30:F33">(C30-B30)*100/B30</f>
        <v>4.890254405361711</v>
      </c>
      <c r="F30" s="255">
        <f t="shared" si="4"/>
        <v>0</v>
      </c>
    </row>
    <row r="31" spans="1:6" ht="12.75">
      <c r="A31" s="246" t="s">
        <v>1021</v>
      </c>
      <c r="B31" s="254">
        <f>Платежеспособность!F37</f>
        <v>0.006774149844194554</v>
      </c>
      <c r="C31" s="254">
        <f>Платежеспособность!G37</f>
        <v>0.2122920850713219</v>
      </c>
      <c r="D31" s="254">
        <f>Платежеспособность!H37</f>
        <v>0.01768966322886419</v>
      </c>
      <c r="E31" s="255">
        <f t="shared" si="4"/>
        <v>3033.855759822854</v>
      </c>
      <c r="F31" s="255">
        <f t="shared" si="4"/>
        <v>-91.66729969093235</v>
      </c>
    </row>
    <row r="32" spans="1:6" ht="25.5">
      <c r="A32" s="248" t="s">
        <v>1022</v>
      </c>
      <c r="B32" s="254">
        <f>Платежеспособность!F39</f>
        <v>2.312118954071264</v>
      </c>
      <c r="C32" s="254">
        <f>Платежеспособность!G39</f>
        <v>2.2940676656882433</v>
      </c>
      <c r="D32" s="254">
        <f>Платежеспособность!H39</f>
        <v>3.4043590000333768</v>
      </c>
      <c r="E32" s="255">
        <f t="shared" si="4"/>
        <v>-0.7807248996093157</v>
      </c>
      <c r="F32" s="255">
        <f t="shared" si="4"/>
        <v>48.39836901724671</v>
      </c>
    </row>
    <row r="33" spans="1:6" ht="25.5">
      <c r="A33" s="248" t="s">
        <v>1023</v>
      </c>
      <c r="B33" s="254">
        <f>Платежеспособность!F22</f>
        <v>0.47113370347040123</v>
      </c>
      <c r="C33" s="254">
        <f>Платежеспособность!G22</f>
        <v>0.4199131283881612</v>
      </c>
      <c r="D33" s="254">
        <f>Платежеспособность!H22</f>
        <v>0.6815035588933116</v>
      </c>
      <c r="E33" s="255">
        <f t="shared" si="4"/>
        <v>-10.871770519694511</v>
      </c>
      <c r="F33" s="255">
        <f t="shared" si="4"/>
        <v>62.29632102936783</v>
      </c>
    </row>
  </sheetData>
  <sheetProtection/>
  <mergeCells count="6">
    <mergeCell ref="A29:F29"/>
    <mergeCell ref="E4:F4"/>
    <mergeCell ref="A5:F5"/>
    <mergeCell ref="A20:F20"/>
    <mergeCell ref="A16:F16"/>
    <mergeCell ref="A7:F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O284"/>
  <sheetViews>
    <sheetView zoomScalePageLayoutView="0" workbookViewId="0" topLeftCell="A86">
      <selection activeCell="B87" sqref="B87"/>
    </sheetView>
  </sheetViews>
  <sheetFormatPr defaultColWidth="9.00390625" defaultRowHeight="12.75"/>
  <cols>
    <col min="1" max="1" width="9.125" style="1" customWidth="1"/>
    <col min="2" max="2" width="23.25390625" style="1" customWidth="1"/>
    <col min="3" max="3" width="10.375" style="1" customWidth="1"/>
    <col min="4" max="4" width="10.25390625" style="1" customWidth="1"/>
    <col min="5" max="5" width="10.875" style="1" customWidth="1"/>
    <col min="6" max="6" width="10.75390625" style="1" customWidth="1"/>
    <col min="7" max="7" width="13.00390625" style="1" customWidth="1"/>
    <col min="8" max="8" width="12.25390625" style="1" customWidth="1"/>
    <col min="9" max="9" width="15.75390625" style="1" customWidth="1"/>
    <col min="10" max="16384" width="9.125" style="1" customWidth="1"/>
  </cols>
  <sheetData>
    <row r="2" ht="12.75">
      <c r="B2" s="3" t="s">
        <v>452</v>
      </c>
    </row>
    <row r="4" spans="2:9" ht="36.75" customHeight="1">
      <c r="B4" s="585" t="s">
        <v>318</v>
      </c>
      <c r="C4" s="588" t="s">
        <v>354</v>
      </c>
      <c r="D4" s="589"/>
      <c r="E4" s="588" t="s">
        <v>320</v>
      </c>
      <c r="F4" s="589"/>
      <c r="G4" s="588" t="s">
        <v>321</v>
      </c>
      <c r="H4" s="592"/>
      <c r="I4" s="589"/>
    </row>
    <row r="5" spans="2:9" ht="15.75" customHeight="1" hidden="1">
      <c r="B5" s="586"/>
      <c r="C5" s="590" t="s">
        <v>319</v>
      </c>
      <c r="D5" s="591"/>
      <c r="E5" s="590"/>
      <c r="F5" s="591"/>
      <c r="G5" s="590"/>
      <c r="H5" s="593"/>
      <c r="I5" s="591"/>
    </row>
    <row r="6" spans="2:9" ht="46.5" customHeight="1">
      <c r="B6" s="587"/>
      <c r="C6" s="4" t="s">
        <v>352</v>
      </c>
      <c r="D6" s="5" t="s">
        <v>353</v>
      </c>
      <c r="E6" s="5" t="s">
        <v>352</v>
      </c>
      <c r="F6" s="5" t="s">
        <v>353</v>
      </c>
      <c r="G6" s="5" t="s">
        <v>324</v>
      </c>
      <c r="H6" s="5" t="s">
        <v>325</v>
      </c>
      <c r="I6" s="5" t="s">
        <v>326</v>
      </c>
    </row>
    <row r="7" spans="2:9" ht="16.5" customHeight="1">
      <c r="B7" s="2" t="s">
        <v>327</v>
      </c>
      <c r="C7" s="55">
        <f>Данные!C6</f>
        <v>0</v>
      </c>
      <c r="D7" s="55">
        <f>Данные!D6</f>
        <v>0</v>
      </c>
      <c r="E7" s="55">
        <f>C7/C14*100</f>
        <v>0</v>
      </c>
      <c r="F7" s="55">
        <f>D7/D14*100</f>
        <v>0</v>
      </c>
      <c r="G7" s="55">
        <f>D7-C7</f>
        <v>0</v>
      </c>
      <c r="H7" s="55">
        <f>F7-E7</f>
        <v>0</v>
      </c>
      <c r="I7" s="55">
        <f>G7/G14*100</f>
        <v>0</v>
      </c>
    </row>
    <row r="8" spans="2:9" ht="11.25">
      <c r="B8" s="2" t="s">
        <v>328</v>
      </c>
      <c r="C8" s="55">
        <f>Данные!C7</f>
        <v>73257</v>
      </c>
      <c r="D8" s="55">
        <f>Данные!D7</f>
        <v>77374</v>
      </c>
      <c r="E8" s="55">
        <f>C8/C14*100</f>
        <v>98.57102490614781</v>
      </c>
      <c r="F8" s="55">
        <f>D8/D14*100</f>
        <v>98.85271872444807</v>
      </c>
      <c r="G8" s="55">
        <f aca="true" t="shared" si="0" ref="G8:G13">D8-C8</f>
        <v>4117</v>
      </c>
      <c r="H8" s="55">
        <f aca="true" t="shared" si="1" ref="H8:H13">F8-E8</f>
        <v>0.28169381830025486</v>
      </c>
      <c r="I8" s="55">
        <f>G8/G14*100</f>
        <v>104.14874778649128</v>
      </c>
    </row>
    <row r="9" spans="2:9" ht="22.5">
      <c r="B9" s="2" t="s">
        <v>329</v>
      </c>
      <c r="C9" s="55">
        <f>Данные!C8</f>
        <v>1060</v>
      </c>
      <c r="D9" s="55">
        <f>Данные!D8</f>
        <v>896</v>
      </c>
      <c r="E9" s="55">
        <f>C9/C14*100</f>
        <v>1.4262839919805164</v>
      </c>
      <c r="F9" s="55">
        <f>D9/D14*100</f>
        <v>1.1447260834014716</v>
      </c>
      <c r="G9" s="55">
        <f t="shared" si="0"/>
        <v>-164</v>
      </c>
      <c r="H9" s="55">
        <f t="shared" si="1"/>
        <v>-0.2815579085790447</v>
      </c>
      <c r="I9" s="55">
        <f>G9/G14*100</f>
        <v>-4.148747786491272</v>
      </c>
    </row>
    <row r="10" spans="2:9" ht="22.5">
      <c r="B10" s="2" t="s">
        <v>330</v>
      </c>
      <c r="C10" s="55">
        <f>Данные!C9</f>
        <v>0</v>
      </c>
      <c r="D10" s="55">
        <f>Данные!D9</f>
        <v>0</v>
      </c>
      <c r="E10" s="55">
        <f>C10/C14*100</f>
        <v>0</v>
      </c>
      <c r="F10" s="55">
        <f>D10/D14*100</f>
        <v>0</v>
      </c>
      <c r="G10" s="55">
        <f t="shared" si="0"/>
        <v>0</v>
      </c>
      <c r="H10" s="55">
        <f t="shared" si="1"/>
        <v>0</v>
      </c>
      <c r="I10" s="55">
        <f>G10/G14*100</f>
        <v>0</v>
      </c>
    </row>
    <row r="11" spans="2:9" ht="22.5">
      <c r="B11" s="2" t="s">
        <v>331</v>
      </c>
      <c r="C11" s="55">
        <f>Данные!C10</f>
        <v>2</v>
      </c>
      <c r="D11" s="55">
        <f>Данные!D10</f>
        <v>2</v>
      </c>
      <c r="E11" s="55">
        <f>C11/C14*100</f>
        <v>0.002691101871661352</v>
      </c>
      <c r="F11" s="55">
        <f>D11/D14*100</f>
        <v>0.002555192150449714</v>
      </c>
      <c r="G11" s="55">
        <f t="shared" si="0"/>
        <v>0</v>
      </c>
      <c r="H11" s="55">
        <f t="shared" si="1"/>
        <v>-0.00013590972121163818</v>
      </c>
      <c r="I11" s="55">
        <f>G11/G14*100</f>
        <v>0</v>
      </c>
    </row>
    <row r="12" spans="2:9" ht="22.5">
      <c r="B12" s="2" t="s">
        <v>332</v>
      </c>
      <c r="C12" s="55">
        <f>Данные!C24</f>
        <v>0</v>
      </c>
      <c r="D12" s="55">
        <f>Данные!D24</f>
        <v>0</v>
      </c>
      <c r="E12" s="55">
        <f>C12/C14*100</f>
        <v>0</v>
      </c>
      <c r="F12" s="55">
        <f>D12/D14*100</f>
        <v>0</v>
      </c>
      <c r="G12" s="55">
        <f t="shared" si="0"/>
        <v>0</v>
      </c>
      <c r="H12" s="55">
        <f t="shared" si="1"/>
        <v>0</v>
      </c>
      <c r="I12" s="55">
        <f>G12/G14*100</f>
        <v>0</v>
      </c>
    </row>
    <row r="13" spans="2:9" ht="18" customHeight="1">
      <c r="B13" s="2" t="s">
        <v>333</v>
      </c>
      <c r="C13" s="55">
        <f>Данные!C12</f>
        <v>0</v>
      </c>
      <c r="D13" s="55">
        <f>Данные!D12</f>
        <v>0</v>
      </c>
      <c r="E13" s="55">
        <f>C13/C14*100</f>
        <v>0</v>
      </c>
      <c r="F13" s="55">
        <f>D13/D14*100</f>
        <v>0</v>
      </c>
      <c r="G13" s="55">
        <f t="shared" si="0"/>
        <v>0</v>
      </c>
      <c r="H13" s="55">
        <f t="shared" si="1"/>
        <v>0</v>
      </c>
      <c r="I13" s="55">
        <f>G13/G14*100</f>
        <v>0</v>
      </c>
    </row>
    <row r="14" spans="2:9" ht="13.5" customHeight="1">
      <c r="B14" s="8" t="s">
        <v>334</v>
      </c>
      <c r="C14" s="59">
        <f>SUM(C7:C13)</f>
        <v>74319</v>
      </c>
      <c r="D14" s="59">
        <f>SUM(D7:D13)</f>
        <v>78272</v>
      </c>
      <c r="E14" s="59">
        <f>SUM(E7:E13)</f>
        <v>99.99999999999999</v>
      </c>
      <c r="F14" s="59">
        <f>SUM(F7:F13)</f>
        <v>99.99999999999999</v>
      </c>
      <c r="G14" s="59">
        <f>D14-C14</f>
        <v>3953</v>
      </c>
      <c r="H14" s="59">
        <f>F14-E14</f>
        <v>0</v>
      </c>
      <c r="I14" s="59">
        <f>SUM(I7:I13)</f>
        <v>100.00000000000001</v>
      </c>
    </row>
    <row r="15" ht="11.25">
      <c r="B15" s="1" t="s">
        <v>355</v>
      </c>
    </row>
    <row r="17" ht="12.75">
      <c r="B17" s="3" t="s">
        <v>453</v>
      </c>
    </row>
    <row r="19" spans="2:9" ht="33" customHeight="1">
      <c r="B19" s="585" t="s">
        <v>318</v>
      </c>
      <c r="C19" s="588" t="s">
        <v>354</v>
      </c>
      <c r="D19" s="589"/>
      <c r="E19" s="588" t="s">
        <v>357</v>
      </c>
      <c r="F19" s="589"/>
      <c r="G19" s="588" t="s">
        <v>321</v>
      </c>
      <c r="H19" s="592"/>
      <c r="I19" s="589"/>
    </row>
    <row r="20" spans="2:9" ht="15.75" customHeight="1" hidden="1">
      <c r="B20" s="586"/>
      <c r="C20" s="590" t="s">
        <v>319</v>
      </c>
      <c r="D20" s="591"/>
      <c r="E20" s="590"/>
      <c r="F20" s="591"/>
      <c r="G20" s="590"/>
      <c r="H20" s="593"/>
      <c r="I20" s="591"/>
    </row>
    <row r="21" spans="2:9" ht="45" customHeight="1">
      <c r="B21" s="587"/>
      <c r="C21" s="4" t="s">
        <v>352</v>
      </c>
      <c r="D21" s="5" t="s">
        <v>353</v>
      </c>
      <c r="E21" s="5" t="s">
        <v>352</v>
      </c>
      <c r="F21" s="5" t="s">
        <v>353</v>
      </c>
      <c r="G21" s="5" t="s">
        <v>324</v>
      </c>
      <c r="H21" s="5" t="s">
        <v>325</v>
      </c>
      <c r="I21" s="5" t="s">
        <v>356</v>
      </c>
    </row>
    <row r="22" spans="2:9" ht="11.25">
      <c r="B22" s="2" t="s">
        <v>92</v>
      </c>
      <c r="C22" s="55">
        <f>Данные!C15</f>
        <v>41599</v>
      </c>
      <c r="D22" s="55">
        <f>Данные!D15</f>
        <v>53651</v>
      </c>
      <c r="E22" s="55">
        <f>C22/C28*100</f>
        <v>83.64466249773793</v>
      </c>
      <c r="F22" s="55">
        <f>D22/D28*100</f>
        <v>78.5945534183965</v>
      </c>
      <c r="G22" s="55">
        <f aca="true" t="shared" si="2" ref="G22:G28">D22-C22</f>
        <v>12052</v>
      </c>
      <c r="H22" s="55">
        <f aca="true" t="shared" si="3" ref="H22:H27">F22-E22</f>
        <v>-5.050109079341425</v>
      </c>
      <c r="I22" s="55">
        <f>G22/G28*100</f>
        <v>65.04047490555855</v>
      </c>
    </row>
    <row r="23" spans="2:9" ht="22.5">
      <c r="B23" s="2" t="s">
        <v>335</v>
      </c>
      <c r="C23" s="55">
        <f>Данные!C23</f>
        <v>2137</v>
      </c>
      <c r="D23" s="55">
        <f>Данные!D23</f>
        <v>2433</v>
      </c>
      <c r="E23" s="55">
        <f>C23/C28*100</f>
        <v>4.2969456899845175</v>
      </c>
      <c r="F23" s="55">
        <f>D23/D28*100</f>
        <v>3.564156277925084</v>
      </c>
      <c r="G23" s="55">
        <f t="shared" si="2"/>
        <v>296</v>
      </c>
      <c r="H23" s="55">
        <f t="shared" si="3"/>
        <v>-0.7327894120594336</v>
      </c>
      <c r="I23" s="55">
        <f>G23/G28*100</f>
        <v>1.5974096060442526</v>
      </c>
    </row>
    <row r="24" spans="2:9" ht="22.5">
      <c r="B24" s="2" t="s">
        <v>336</v>
      </c>
      <c r="C24" s="55">
        <f>Данные!C30</f>
        <v>5433</v>
      </c>
      <c r="D24" s="55">
        <f>Данные!D30</f>
        <v>11979</v>
      </c>
      <c r="E24" s="55">
        <f>C24/C28*100</f>
        <v>10.92433595399433</v>
      </c>
      <c r="F24" s="55">
        <f>D24/D28*100</f>
        <v>17.54830581720698</v>
      </c>
      <c r="G24" s="55">
        <f t="shared" si="2"/>
        <v>6546</v>
      </c>
      <c r="H24" s="55">
        <f t="shared" si="3"/>
        <v>6.6239698632126505</v>
      </c>
      <c r="I24" s="55">
        <f>G24/G28*100</f>
        <v>35.32649757150567</v>
      </c>
    </row>
    <row r="25" spans="2:9" ht="22.5">
      <c r="B25" s="2" t="s">
        <v>337</v>
      </c>
      <c r="C25" s="55">
        <f>Данные!C37</f>
        <v>0</v>
      </c>
      <c r="D25" s="55">
        <f>Данные!D37</f>
        <v>0</v>
      </c>
      <c r="E25" s="55">
        <f>C25/C28*100</f>
        <v>0</v>
      </c>
      <c r="F25" s="55">
        <f>D25/D28*100</f>
        <v>0</v>
      </c>
      <c r="G25" s="55">
        <f t="shared" si="2"/>
        <v>0</v>
      </c>
      <c r="H25" s="55">
        <f t="shared" si="3"/>
        <v>0</v>
      </c>
      <c r="I25" s="55">
        <f>G25/G28*100</f>
        <v>0</v>
      </c>
    </row>
    <row r="26" spans="2:9" ht="11.25">
      <c r="B26" s="2" t="s">
        <v>230</v>
      </c>
      <c r="C26" s="55">
        <f>Данные!C41</f>
        <v>564</v>
      </c>
      <c r="D26" s="55">
        <f>Данные!D41</f>
        <v>200</v>
      </c>
      <c r="E26" s="55">
        <f>C26/C28*100</f>
        <v>1.1340558582832325</v>
      </c>
      <c r="F26" s="55">
        <f>D26/D28*100</f>
        <v>0.2929844864714413</v>
      </c>
      <c r="G26" s="55">
        <f t="shared" si="2"/>
        <v>-364</v>
      </c>
      <c r="H26" s="55">
        <f t="shared" si="3"/>
        <v>-0.8410713718117913</v>
      </c>
      <c r="I26" s="55">
        <f>G26/G28*100</f>
        <v>-1.9643820831084728</v>
      </c>
    </row>
    <row r="27" spans="2:9" ht="11.25">
      <c r="B27" s="2" t="s">
        <v>338</v>
      </c>
      <c r="C27" s="55">
        <f>Данные!C46</f>
        <v>0</v>
      </c>
      <c r="D27" s="55">
        <f>Данные!D46</f>
        <v>0</v>
      </c>
      <c r="E27" s="55">
        <f>C27/C28*100</f>
        <v>0</v>
      </c>
      <c r="F27" s="55">
        <f>D27/D28*100</f>
        <v>0</v>
      </c>
      <c r="G27" s="55">
        <f t="shared" si="2"/>
        <v>0</v>
      </c>
      <c r="H27" s="55">
        <f t="shared" si="3"/>
        <v>0</v>
      </c>
      <c r="I27" s="55">
        <f>G27/G28*100</f>
        <v>0</v>
      </c>
    </row>
    <row r="28" spans="2:9" ht="11.25">
      <c r="B28" s="8" t="s">
        <v>339</v>
      </c>
      <c r="C28" s="59">
        <f>SUM(C22:C27)</f>
        <v>49733</v>
      </c>
      <c r="D28" s="59">
        <f>SUM(D22:D27)</f>
        <v>68263</v>
      </c>
      <c r="E28" s="59">
        <f>SUM(E22:E27)</f>
        <v>100</v>
      </c>
      <c r="F28" s="59">
        <f>SUM(F22:F27)</f>
        <v>100</v>
      </c>
      <c r="G28" s="59">
        <f t="shared" si="2"/>
        <v>18530</v>
      </c>
      <c r="H28" s="59">
        <f>SUM(H22:H27)</f>
        <v>2.220446049250313E-16</v>
      </c>
      <c r="I28" s="59">
        <f>SUM(I22:I27)</f>
        <v>100</v>
      </c>
    </row>
    <row r="31" ht="12.75">
      <c r="B31" s="3" t="s">
        <v>454</v>
      </c>
    </row>
    <row r="33" spans="2:9" ht="27.75" customHeight="1">
      <c r="B33" s="585" t="s">
        <v>318</v>
      </c>
      <c r="C33" s="588" t="s">
        <v>354</v>
      </c>
      <c r="D33" s="589"/>
      <c r="E33" s="588" t="s">
        <v>358</v>
      </c>
      <c r="F33" s="589"/>
      <c r="G33" s="588" t="s">
        <v>321</v>
      </c>
      <c r="H33" s="592"/>
      <c r="I33" s="589"/>
    </row>
    <row r="34" spans="2:9" ht="15.75" customHeight="1" hidden="1">
      <c r="B34" s="586"/>
      <c r="C34" s="590"/>
      <c r="D34" s="591"/>
      <c r="E34" s="590"/>
      <c r="F34" s="591"/>
      <c r="G34" s="590"/>
      <c r="H34" s="593"/>
      <c r="I34" s="591"/>
    </row>
    <row r="35" spans="2:9" ht="33.75">
      <c r="B35" s="587"/>
      <c r="C35" s="4" t="s">
        <v>352</v>
      </c>
      <c r="D35" s="5" t="s">
        <v>353</v>
      </c>
      <c r="E35" s="5" t="s">
        <v>352</v>
      </c>
      <c r="F35" s="5" t="s">
        <v>353</v>
      </c>
      <c r="G35" s="5" t="s">
        <v>324</v>
      </c>
      <c r="H35" s="5" t="s">
        <v>325</v>
      </c>
      <c r="I35" s="5" t="s">
        <v>359</v>
      </c>
    </row>
    <row r="36" spans="2:9" ht="11.25">
      <c r="B36" s="48" t="s">
        <v>340</v>
      </c>
      <c r="C36" s="55">
        <f>Данные!C16</f>
        <v>15990</v>
      </c>
      <c r="D36" s="55">
        <f>Данные!D16</f>
        <v>17237</v>
      </c>
      <c r="E36" s="55">
        <f>C36/C43*100</f>
        <v>30.988972654508807</v>
      </c>
      <c r="F36" s="55">
        <f>D36/D43*100</f>
        <v>32.12801252539561</v>
      </c>
      <c r="G36" s="55">
        <f>D36-C36</f>
        <v>1247</v>
      </c>
      <c r="H36" s="55">
        <f>F36-E36</f>
        <v>1.1390398708868048</v>
      </c>
      <c r="I36" s="55">
        <f>G36/G43*100</f>
        <v>60.769980506822606</v>
      </c>
    </row>
    <row r="37" spans="2:9" ht="22.5">
      <c r="B37" s="48" t="s">
        <v>341</v>
      </c>
      <c r="C37" s="55">
        <f>Данные!C17</f>
        <v>14029</v>
      </c>
      <c r="D37" s="55">
        <f>Данные!D17</f>
        <v>18485</v>
      </c>
      <c r="E37" s="55">
        <f>C37/C43*100</f>
        <v>27.188511405259792</v>
      </c>
      <c r="F37" s="55">
        <f>D37/D43*100</f>
        <v>34.45415742483831</v>
      </c>
      <c r="G37" s="55">
        <f aca="true" t="shared" si="4" ref="G37:G42">D37-C37</f>
        <v>4456</v>
      </c>
      <c r="H37" s="55">
        <f aca="true" t="shared" si="5" ref="H37:H42">F37-E37</f>
        <v>7.265646019578515</v>
      </c>
      <c r="I37" s="55">
        <f>G37/G43*100</f>
        <v>217.15399610136453</v>
      </c>
    </row>
    <row r="38" spans="2:9" ht="33.75">
      <c r="B38" s="48" t="s">
        <v>342</v>
      </c>
      <c r="C38" s="55">
        <f>Данные!C18</f>
        <v>3087</v>
      </c>
      <c r="D38" s="55">
        <f>Данные!D18</f>
        <v>2775</v>
      </c>
      <c r="E38" s="55">
        <f>C38/C43*100</f>
        <v>5.982674082831062</v>
      </c>
      <c r="F38" s="55">
        <f>D38/D43*100</f>
        <v>5.172317384578107</v>
      </c>
      <c r="G38" s="55">
        <f t="shared" si="4"/>
        <v>-312</v>
      </c>
      <c r="H38" s="55">
        <f t="shared" si="5"/>
        <v>-0.8103566982529555</v>
      </c>
      <c r="I38" s="55">
        <f>G38/G43*100</f>
        <v>-15.204678362573098</v>
      </c>
    </row>
    <row r="39" spans="2:9" ht="22.5">
      <c r="B39" s="48" t="s">
        <v>343</v>
      </c>
      <c r="C39" s="55">
        <f>Данные!C19</f>
        <v>18493</v>
      </c>
      <c r="D39" s="55">
        <f>Данные!D19</f>
        <v>15154</v>
      </c>
      <c r="E39" s="55">
        <f>C39/C43*100</f>
        <v>35.83984185740034</v>
      </c>
      <c r="F39" s="55">
        <f>D39/D43*100</f>
        <v>28.24551266518797</v>
      </c>
      <c r="G39" s="55">
        <f t="shared" si="4"/>
        <v>-3339</v>
      </c>
      <c r="H39" s="55">
        <f t="shared" si="5"/>
        <v>-7.594329192212367</v>
      </c>
      <c r="I39" s="55">
        <f>G39/G43*100</f>
        <v>-162.71929824561403</v>
      </c>
    </row>
    <row r="40" spans="2:9" ht="11.25">
      <c r="B40" s="48" t="s">
        <v>344</v>
      </c>
      <c r="C40" s="55">
        <f>Данные!C20</f>
        <v>0</v>
      </c>
      <c r="D40" s="55">
        <f>Данные!D20</f>
        <v>0</v>
      </c>
      <c r="E40" s="55">
        <f>C40/C43*100</f>
        <v>0</v>
      </c>
      <c r="F40" s="55">
        <f>D40/D43*100</f>
        <v>0</v>
      </c>
      <c r="G40" s="55">
        <f t="shared" si="4"/>
        <v>0</v>
      </c>
      <c r="H40" s="55">
        <f t="shared" si="5"/>
        <v>0</v>
      </c>
      <c r="I40" s="55">
        <f>G40/G43*100</f>
        <v>0</v>
      </c>
    </row>
    <row r="41" spans="2:9" ht="11.25">
      <c r="B41" s="48" t="s">
        <v>345</v>
      </c>
      <c r="C41" s="55">
        <f>Данные!C21</f>
        <v>0</v>
      </c>
      <c r="D41" s="55">
        <f>Данные!D21</f>
        <v>0</v>
      </c>
      <c r="E41" s="55">
        <f>C41/C43*100</f>
        <v>0</v>
      </c>
      <c r="F41" s="55">
        <f>D41/D43*100</f>
        <v>0</v>
      </c>
      <c r="G41" s="55">
        <f t="shared" si="4"/>
        <v>0</v>
      </c>
      <c r="H41" s="55">
        <f t="shared" si="5"/>
        <v>0</v>
      </c>
      <c r="I41" s="55">
        <f>G41/G43*100</f>
        <v>0</v>
      </c>
    </row>
    <row r="42" spans="2:9" ht="11.25">
      <c r="B42" s="48" t="s">
        <v>346</v>
      </c>
      <c r="C42" s="55">
        <f>Данные!C22</f>
        <v>0</v>
      </c>
      <c r="D42" s="55">
        <f>Данные!D22</f>
        <v>0</v>
      </c>
      <c r="E42" s="55">
        <f>C42/C43*100</f>
        <v>0</v>
      </c>
      <c r="F42" s="55">
        <f>D42/D43*100</f>
        <v>0</v>
      </c>
      <c r="G42" s="55">
        <f t="shared" si="4"/>
        <v>0</v>
      </c>
      <c r="H42" s="55">
        <f t="shared" si="5"/>
        <v>0</v>
      </c>
      <c r="I42" s="55">
        <f>G42/G43*100</f>
        <v>0</v>
      </c>
    </row>
    <row r="43" spans="2:9" ht="11.25">
      <c r="B43" s="49" t="s">
        <v>347</v>
      </c>
      <c r="C43" s="59">
        <f aca="true" t="shared" si="6" ref="C43:I43">SUM(C36:C42)</f>
        <v>51599</v>
      </c>
      <c r="D43" s="59">
        <f t="shared" si="6"/>
        <v>53651</v>
      </c>
      <c r="E43" s="59">
        <f t="shared" si="6"/>
        <v>100</v>
      </c>
      <c r="F43" s="59">
        <f t="shared" si="6"/>
        <v>100</v>
      </c>
      <c r="G43" s="59">
        <f t="shared" si="6"/>
        <v>2052</v>
      </c>
      <c r="H43" s="59">
        <f t="shared" si="6"/>
        <v>-2.6645352591003757E-15</v>
      </c>
      <c r="I43" s="59">
        <f t="shared" si="6"/>
        <v>100</v>
      </c>
    </row>
    <row r="46" ht="12.75">
      <c r="B46" s="3" t="s">
        <v>455</v>
      </c>
    </row>
    <row r="48" spans="2:9" ht="38.25" customHeight="1">
      <c r="B48" s="585" t="s">
        <v>318</v>
      </c>
      <c r="C48" s="588" t="s">
        <v>354</v>
      </c>
      <c r="D48" s="589"/>
      <c r="E48" s="588" t="s">
        <v>360</v>
      </c>
      <c r="F48" s="589"/>
      <c r="G48" s="588" t="s">
        <v>321</v>
      </c>
      <c r="H48" s="592"/>
      <c r="I48" s="589"/>
    </row>
    <row r="49" spans="2:9" ht="33.75">
      <c r="B49" s="587"/>
      <c r="C49" s="4" t="s">
        <v>322</v>
      </c>
      <c r="D49" s="5" t="s">
        <v>323</v>
      </c>
      <c r="E49" s="5" t="s">
        <v>322</v>
      </c>
      <c r="F49" s="5" t="s">
        <v>323</v>
      </c>
      <c r="G49" s="5" t="s">
        <v>324</v>
      </c>
      <c r="H49" s="5" t="s">
        <v>325</v>
      </c>
      <c r="I49" s="5" t="s">
        <v>382</v>
      </c>
    </row>
    <row r="50" spans="2:9" ht="22.5">
      <c r="B50" s="48" t="s">
        <v>348</v>
      </c>
      <c r="C50" s="55">
        <f>C14</f>
        <v>74319</v>
      </c>
      <c r="D50" s="55">
        <f>D14</f>
        <v>78272</v>
      </c>
      <c r="E50" s="55">
        <f>C50/C52*100</f>
        <v>59.90955405797569</v>
      </c>
      <c r="F50" s="55">
        <f>D50/D52*100</f>
        <v>53.41522503156243</v>
      </c>
      <c r="G50" s="55">
        <f>D50-C50</f>
        <v>3953</v>
      </c>
      <c r="H50" s="55">
        <f>F50-E50</f>
        <v>-6.494329026413261</v>
      </c>
      <c r="I50" s="55">
        <f>G50/G52*100</f>
        <v>17.58217319752702</v>
      </c>
    </row>
    <row r="51" spans="2:9" ht="22.5">
      <c r="B51" s="48" t="s">
        <v>349</v>
      </c>
      <c r="C51" s="55">
        <f>C28</f>
        <v>49733</v>
      </c>
      <c r="D51" s="55">
        <f>D28</f>
        <v>68263</v>
      </c>
      <c r="E51" s="55">
        <f>C51/C52*100</f>
        <v>40.09044594202431</v>
      </c>
      <c r="F51" s="55">
        <f>D51/D52*100</f>
        <v>46.58477496843758</v>
      </c>
      <c r="G51" s="55">
        <f>D51-C51</f>
        <v>18530</v>
      </c>
      <c r="H51" s="55">
        <f>F51-E51</f>
        <v>6.4943290264132685</v>
      </c>
      <c r="I51" s="55">
        <f>G51/G52*100</f>
        <v>82.41782680247299</v>
      </c>
    </row>
    <row r="52" spans="2:9" ht="11.25">
      <c r="B52" s="49" t="s">
        <v>350</v>
      </c>
      <c r="C52" s="59">
        <f aca="true" t="shared" si="7" ref="C52:I52">SUM(C50:C51)</f>
        <v>124052</v>
      </c>
      <c r="D52" s="59">
        <f t="shared" si="7"/>
        <v>146535</v>
      </c>
      <c r="E52" s="59">
        <f t="shared" si="7"/>
        <v>100</v>
      </c>
      <c r="F52" s="59">
        <f t="shared" si="7"/>
        <v>100</v>
      </c>
      <c r="G52" s="59">
        <f t="shared" si="7"/>
        <v>22483</v>
      </c>
      <c r="H52" s="59">
        <f t="shared" si="7"/>
        <v>7.105427357601002E-15</v>
      </c>
      <c r="I52" s="59">
        <f t="shared" si="7"/>
        <v>100</v>
      </c>
    </row>
    <row r="53" spans="2:9" ht="33.75">
      <c r="B53" s="48" t="s">
        <v>351</v>
      </c>
      <c r="C53" s="60">
        <f>C51/C50</f>
        <v>0.6691828469166701</v>
      </c>
      <c r="D53" s="60">
        <f>D51/D50</f>
        <v>0.8721254088307441</v>
      </c>
      <c r="E53" s="55"/>
      <c r="F53" s="55"/>
      <c r="G53" s="55"/>
      <c r="H53" s="55"/>
      <c r="I53" s="55"/>
    </row>
    <row r="56" ht="12.75">
      <c r="B56" s="3" t="s">
        <v>456</v>
      </c>
    </row>
    <row r="58" spans="2:9" ht="31.5" customHeight="1">
      <c r="B58" s="594" t="s">
        <v>318</v>
      </c>
      <c r="C58" s="596" t="s">
        <v>354</v>
      </c>
      <c r="D58" s="597"/>
      <c r="E58" s="596" t="s">
        <v>362</v>
      </c>
      <c r="F58" s="597"/>
      <c r="G58" s="596" t="s">
        <v>321</v>
      </c>
      <c r="H58" s="598"/>
      <c r="I58" s="597"/>
    </row>
    <row r="59" spans="2:9" ht="45.75" customHeight="1">
      <c r="B59" s="595"/>
      <c r="C59" s="6" t="s">
        <v>352</v>
      </c>
      <c r="D59" s="7" t="s">
        <v>353</v>
      </c>
      <c r="E59" s="7" t="s">
        <v>352</v>
      </c>
      <c r="F59" s="7" t="s">
        <v>353</v>
      </c>
      <c r="G59" s="7" t="s">
        <v>324</v>
      </c>
      <c r="H59" s="7" t="s">
        <v>325</v>
      </c>
      <c r="I59" s="7" t="s">
        <v>381</v>
      </c>
    </row>
    <row r="60" spans="2:9" ht="11.25">
      <c r="B60" s="50" t="s">
        <v>363</v>
      </c>
      <c r="C60" s="55">
        <f>Данные!C69</f>
        <v>11</v>
      </c>
      <c r="D60" s="55">
        <f>Данные!D69</f>
        <v>11</v>
      </c>
      <c r="E60" s="55">
        <f>C60/C69*100</f>
        <v>0.011440338634023568</v>
      </c>
      <c r="F60" s="55">
        <f>D60/D69*100</f>
        <v>0.009960790705676745</v>
      </c>
      <c r="G60" s="55">
        <f aca="true" t="shared" si="8" ref="G60:G65">D60-C60</f>
        <v>0</v>
      </c>
      <c r="H60" s="55">
        <f aca="true" t="shared" si="9" ref="H60:H65">F60-E60</f>
        <v>-0.0014795479283468225</v>
      </c>
      <c r="I60" s="55">
        <f>G60/G69*100</f>
        <v>0</v>
      </c>
    </row>
    <row r="61" spans="2:9" ht="11.25">
      <c r="B61" s="48" t="s">
        <v>364</v>
      </c>
      <c r="C61" s="55">
        <f>Данные!C71</f>
        <v>41577</v>
      </c>
      <c r="D61" s="55">
        <f>Данные!D71</f>
        <v>44224</v>
      </c>
      <c r="E61" s="55">
        <f>C61/C69*100</f>
        <v>43.24135994425435</v>
      </c>
      <c r="F61" s="55">
        <f>D61/D69*100</f>
        <v>40.046000742531675</v>
      </c>
      <c r="G61" s="55">
        <f t="shared" si="8"/>
        <v>2647</v>
      </c>
      <c r="H61" s="55">
        <f t="shared" si="9"/>
        <v>-3.195359201722674</v>
      </c>
      <c r="I61" s="55">
        <f>G61/G69*100</f>
        <v>18.53381879288615</v>
      </c>
    </row>
    <row r="62" spans="2:9" ht="11.25">
      <c r="B62" s="48" t="s">
        <v>365</v>
      </c>
      <c r="C62" s="56">
        <f>Данные!C72</f>
        <v>296</v>
      </c>
      <c r="D62" s="56">
        <f>Данные!D72</f>
        <v>0</v>
      </c>
      <c r="E62" s="56">
        <f>C62/C69*100</f>
        <v>0.3078491123337251</v>
      </c>
      <c r="F62" s="56">
        <f>D62/D69*100</f>
        <v>0</v>
      </c>
      <c r="G62" s="55">
        <f t="shared" si="8"/>
        <v>-296</v>
      </c>
      <c r="H62" s="55">
        <f t="shared" si="9"/>
        <v>-0.3078491123337251</v>
      </c>
      <c r="I62" s="56">
        <f>G62/G69*100</f>
        <v>-2.072538860103627</v>
      </c>
    </row>
    <row r="63" spans="2:9" ht="11.25">
      <c r="B63" s="48" t="s">
        <v>366</v>
      </c>
      <c r="C63" s="55">
        <f>Данные!C75</f>
        <v>2643</v>
      </c>
      <c r="D63" s="55">
        <f>Данные!D75</f>
        <v>0</v>
      </c>
      <c r="E63" s="55">
        <f>C63/C69*100</f>
        <v>2.74880136452039</v>
      </c>
      <c r="F63" s="55">
        <f>D63/D69*100</f>
        <v>0</v>
      </c>
      <c r="G63" s="55">
        <f t="shared" si="8"/>
        <v>-2643</v>
      </c>
      <c r="H63" s="55">
        <f t="shared" si="9"/>
        <v>-2.74880136452039</v>
      </c>
      <c r="I63" s="55">
        <f>G64/G69*100</f>
        <v>102.04453157821034</v>
      </c>
    </row>
    <row r="64" spans="2:9" ht="22.5">
      <c r="B64" s="50" t="s">
        <v>367</v>
      </c>
      <c r="C64" s="53">
        <f>Данные!C77+Данные!C78+Данные!C79+Данные!C80</f>
        <v>51624</v>
      </c>
      <c r="D64" s="53">
        <f>Данные!D77+Данные!D78+Данные!D79+Данные!D80</f>
        <v>66198</v>
      </c>
      <c r="E64" s="53">
        <f>C64/C69*100</f>
        <v>53.69054924025751</v>
      </c>
      <c r="F64" s="53">
        <f>D64/D69*100</f>
        <v>59.94403846676265</v>
      </c>
      <c r="G64" s="55">
        <f t="shared" si="8"/>
        <v>14574</v>
      </c>
      <c r="H64" s="55">
        <f t="shared" si="9"/>
        <v>6.253489226505138</v>
      </c>
      <c r="I64" s="53">
        <f>G64/G69*100</f>
        <v>102.04453157821034</v>
      </c>
    </row>
    <row r="65" spans="2:9" ht="11.25">
      <c r="B65" s="9" t="s">
        <v>368</v>
      </c>
      <c r="C65" s="57">
        <f>Данные!C103</f>
        <v>0</v>
      </c>
      <c r="D65" s="57">
        <f>Данные!D103</f>
        <v>0</v>
      </c>
      <c r="E65" s="58">
        <f>C65/C69*100</f>
        <v>0</v>
      </c>
      <c r="F65" s="58">
        <f>D65/D69*100</f>
        <v>0</v>
      </c>
      <c r="G65" s="61">
        <f t="shared" si="8"/>
        <v>0</v>
      </c>
      <c r="H65" s="62">
        <f t="shared" si="9"/>
        <v>0</v>
      </c>
      <c r="I65" s="57">
        <f>G65/G69*100</f>
        <v>0</v>
      </c>
    </row>
    <row r="66" spans="2:9" ht="11.25">
      <c r="B66" s="11" t="s">
        <v>369</v>
      </c>
      <c r="C66" s="57"/>
      <c r="D66" s="57"/>
      <c r="E66" s="58"/>
      <c r="F66" s="58"/>
      <c r="G66" s="57"/>
      <c r="H66" s="57"/>
      <c r="I66" s="57"/>
    </row>
    <row r="67" spans="2:9" ht="22.5">
      <c r="B67" s="9" t="s">
        <v>370</v>
      </c>
      <c r="C67" s="53">
        <f>Данные!C39</f>
        <v>0</v>
      </c>
      <c r="D67" s="53">
        <f>Данные!D39</f>
        <v>0</v>
      </c>
      <c r="E67" s="53">
        <f>D67-C67</f>
        <v>0</v>
      </c>
      <c r="F67" s="53">
        <f>D67/D69*100</f>
        <v>0</v>
      </c>
      <c r="G67" s="53">
        <f>D67-C67</f>
        <v>0</v>
      </c>
      <c r="H67" s="53">
        <f>F67-E67</f>
        <v>0</v>
      </c>
      <c r="I67" s="53">
        <f>G67/G69*100</f>
        <v>0</v>
      </c>
    </row>
    <row r="68" spans="2:9" ht="24.75" customHeight="1">
      <c r="B68" s="9" t="s">
        <v>371</v>
      </c>
      <c r="C68" s="53">
        <f>Данные!C34</f>
        <v>0</v>
      </c>
      <c r="D68" s="53">
        <f>Данные!D34</f>
        <v>0</v>
      </c>
      <c r="E68" s="53">
        <f>D68-C68</f>
        <v>0</v>
      </c>
      <c r="F68" s="53">
        <f>D68/D69*100</f>
        <v>0</v>
      </c>
      <c r="G68" s="53">
        <f>D68-C68</f>
        <v>0</v>
      </c>
      <c r="H68" s="53">
        <f>F68-E68</f>
        <v>0</v>
      </c>
      <c r="I68" s="53">
        <f>G68/G69*100</f>
        <v>0</v>
      </c>
    </row>
    <row r="69" spans="2:9" ht="24.75" customHeight="1">
      <c r="B69" s="12" t="s">
        <v>731</v>
      </c>
      <c r="C69" s="54">
        <f>SUM(C60:C65)-C67-C68</f>
        <v>96151</v>
      </c>
      <c r="D69" s="54">
        <f>SUM(D60:D65)-D67-D68</f>
        <v>110433</v>
      </c>
      <c r="E69" s="54">
        <f>SUM(E60:E68)</f>
        <v>100</v>
      </c>
      <c r="F69" s="54">
        <f>SUM(F60:F68)</f>
        <v>100</v>
      </c>
      <c r="G69" s="54">
        <f>SUM(G60:G68)</f>
        <v>14282</v>
      </c>
      <c r="H69" s="54">
        <f>SUM(H60:H68)</f>
        <v>1.7763568394002505E-15</v>
      </c>
      <c r="I69" s="54">
        <f>SUM(I60:J68)</f>
        <v>220.55034308920318</v>
      </c>
    </row>
    <row r="70" ht="11.25">
      <c r="B70" s="1" t="s">
        <v>729</v>
      </c>
    </row>
    <row r="72" ht="12.75">
      <c r="B72" s="3" t="s">
        <v>457</v>
      </c>
    </row>
    <row r="74" spans="2:9" ht="36" customHeight="1">
      <c r="B74" s="594" t="s">
        <v>318</v>
      </c>
      <c r="C74" s="596" t="s">
        <v>354</v>
      </c>
      <c r="D74" s="597"/>
      <c r="E74" s="596" t="s">
        <v>372</v>
      </c>
      <c r="F74" s="597"/>
      <c r="G74" s="596" t="s">
        <v>321</v>
      </c>
      <c r="H74" s="598"/>
      <c r="I74" s="597"/>
    </row>
    <row r="75" spans="2:9" ht="33.75">
      <c r="B75" s="595"/>
      <c r="C75" s="6" t="s">
        <v>352</v>
      </c>
      <c r="D75" s="7" t="s">
        <v>353</v>
      </c>
      <c r="E75" s="7" t="s">
        <v>352</v>
      </c>
      <c r="F75" s="7" t="s">
        <v>353</v>
      </c>
      <c r="G75" s="7" t="s">
        <v>324</v>
      </c>
      <c r="H75" s="7" t="s">
        <v>325</v>
      </c>
      <c r="I75" s="7" t="s">
        <v>380</v>
      </c>
    </row>
    <row r="76" spans="2:9" ht="11.25">
      <c r="B76" s="9" t="s">
        <v>373</v>
      </c>
      <c r="C76" s="53">
        <f>Данные!C83</f>
        <v>306</v>
      </c>
      <c r="D76" s="53">
        <f>Данные!D83</f>
        <v>306</v>
      </c>
      <c r="E76" s="53">
        <f>C76/C84*100</f>
        <v>1.096734884054335</v>
      </c>
      <c r="F76" s="53">
        <f>D76/D84*100</f>
        <v>0.8475984709988366</v>
      </c>
      <c r="G76" s="53">
        <f>D76-C76</f>
        <v>0</v>
      </c>
      <c r="H76" s="53">
        <f>F76-E76</f>
        <v>-0.24913641305549838</v>
      </c>
      <c r="I76" s="53">
        <f>G76/G84*100</f>
        <v>0</v>
      </c>
    </row>
    <row r="77" spans="2:9" ht="22.5">
      <c r="B77" s="9" t="s">
        <v>566</v>
      </c>
      <c r="C77" s="53">
        <f>Данные!C87</f>
        <v>5014</v>
      </c>
      <c r="D77" s="53">
        <f>Данные!D87</f>
        <v>6272</v>
      </c>
      <c r="E77" s="53">
        <f>C77/C84*100</f>
        <v>17.97068205440665</v>
      </c>
      <c r="F77" s="53">
        <f>D77/D84*100</f>
        <v>17.372998725832364</v>
      </c>
      <c r="G77" s="53">
        <f aca="true" t="shared" si="10" ref="G77:G83">D77-C77</f>
        <v>1258</v>
      </c>
      <c r="H77" s="53">
        <f aca="true" t="shared" si="11" ref="H77:H83">F77-E77</f>
        <v>-0.5976833285742877</v>
      </c>
      <c r="I77" s="53">
        <f>G77/G84*100</f>
        <v>15.339592732593585</v>
      </c>
    </row>
    <row r="78" spans="2:9" ht="11.25">
      <c r="B78" s="9" t="s">
        <v>374</v>
      </c>
      <c r="C78" s="53">
        <f>Данные!C90</f>
        <v>786</v>
      </c>
      <c r="D78" s="53">
        <f>Данные!D90</f>
        <v>5898</v>
      </c>
      <c r="E78" s="53">
        <f>C78/C84*100</f>
        <v>2.8171033296297625</v>
      </c>
      <c r="F78" s="53">
        <f>D78/D84*100</f>
        <v>16.337045039056008</v>
      </c>
      <c r="G78" s="53">
        <f t="shared" si="10"/>
        <v>5112</v>
      </c>
      <c r="H78" s="53">
        <f t="shared" si="11"/>
        <v>13.519941709426245</v>
      </c>
      <c r="I78" s="53">
        <f>G78/G84*100</f>
        <v>62.333861724179975</v>
      </c>
    </row>
    <row r="79" spans="2:9" ht="22.5">
      <c r="B79" s="9" t="s">
        <v>375</v>
      </c>
      <c r="C79" s="53">
        <f>Данные!C93</f>
        <v>21795</v>
      </c>
      <c r="D79" s="53">
        <f>Данные!D93</f>
        <v>23626</v>
      </c>
      <c r="E79" s="53">
        <f>C79/C84*100</f>
        <v>78.11547973190926</v>
      </c>
      <c r="F79" s="53">
        <f>D79/D84*100</f>
        <v>65.44235776411278</v>
      </c>
      <c r="G79" s="53">
        <f t="shared" si="10"/>
        <v>1831</v>
      </c>
      <c r="H79" s="53">
        <f t="shared" si="11"/>
        <v>-12.673121967796476</v>
      </c>
      <c r="I79" s="53">
        <f>G79/G84*100</f>
        <v>22.326545543226437</v>
      </c>
    </row>
    <row r="80" spans="2:9" ht="11.25">
      <c r="B80" s="9" t="s">
        <v>376</v>
      </c>
      <c r="C80" s="53">
        <f>Данные!C102</f>
        <v>0</v>
      </c>
      <c r="D80" s="53">
        <f>Данные!D102</f>
        <v>0</v>
      </c>
      <c r="E80" s="53">
        <f>C80/C84*100</f>
        <v>0</v>
      </c>
      <c r="F80" s="53">
        <f>D80/D84*100</f>
        <v>0</v>
      </c>
      <c r="G80" s="53">
        <f t="shared" si="10"/>
        <v>0</v>
      </c>
      <c r="H80" s="53">
        <f t="shared" si="11"/>
        <v>0</v>
      </c>
      <c r="I80" s="53">
        <f>G80/G84*100</f>
        <v>0</v>
      </c>
    </row>
    <row r="81" spans="2:9" ht="11.25">
      <c r="B81" s="9" t="s">
        <v>377</v>
      </c>
      <c r="C81" s="53">
        <f>Данные!C104</f>
        <v>0</v>
      </c>
      <c r="D81" s="53">
        <f>Данные!D104</f>
        <v>0</v>
      </c>
      <c r="E81" s="53">
        <f>C81/C84*100</f>
        <v>0</v>
      </c>
      <c r="F81" s="53">
        <f>D81/D84*100</f>
        <v>0</v>
      </c>
      <c r="G81" s="53">
        <f t="shared" si="10"/>
        <v>0</v>
      </c>
      <c r="H81" s="53">
        <f t="shared" si="11"/>
        <v>0</v>
      </c>
      <c r="I81" s="53">
        <f>G81/G84*100</f>
        <v>0</v>
      </c>
    </row>
    <row r="82" spans="2:9" ht="22.5">
      <c r="B82" s="9" t="s">
        <v>567</v>
      </c>
      <c r="C82" s="53">
        <f>Данные!C105</f>
        <v>0</v>
      </c>
      <c r="D82" s="53">
        <f>Данные!D105</f>
        <v>0</v>
      </c>
      <c r="E82" s="53">
        <f>C82/C84*100</f>
        <v>0</v>
      </c>
      <c r="F82" s="53">
        <f>D82/D84*100</f>
        <v>0</v>
      </c>
      <c r="G82" s="53">
        <f t="shared" si="10"/>
        <v>0</v>
      </c>
      <c r="H82" s="53">
        <f t="shared" si="11"/>
        <v>0</v>
      </c>
      <c r="I82" s="53">
        <f>G82/G84*100</f>
        <v>0</v>
      </c>
    </row>
    <row r="83" spans="2:9" ht="22.5">
      <c r="B83" s="9" t="s">
        <v>378</v>
      </c>
      <c r="C83" s="53">
        <f>Данные!C76</f>
        <v>0</v>
      </c>
      <c r="D83" s="53">
        <f>Данные!D76</f>
        <v>0</v>
      </c>
      <c r="E83" s="53">
        <f>C83/C84*100</f>
        <v>0</v>
      </c>
      <c r="F83" s="53">
        <f>D83/D84*100</f>
        <v>0</v>
      </c>
      <c r="G83" s="53">
        <f t="shared" si="10"/>
        <v>0</v>
      </c>
      <c r="H83" s="53">
        <f t="shared" si="11"/>
        <v>0</v>
      </c>
      <c r="I83" s="53">
        <f>G83/G84*100</f>
        <v>0</v>
      </c>
    </row>
    <row r="84" spans="2:9" ht="22.5">
      <c r="B84" s="12" t="s">
        <v>379</v>
      </c>
      <c r="C84" s="54">
        <f aca="true" t="shared" si="12" ref="C84:I84">SUM(C76:C83)</f>
        <v>27901</v>
      </c>
      <c r="D84" s="54">
        <f t="shared" si="12"/>
        <v>36102</v>
      </c>
      <c r="E84" s="54">
        <f t="shared" si="12"/>
        <v>100.00000000000001</v>
      </c>
      <c r="F84" s="54">
        <f t="shared" si="12"/>
        <v>100</v>
      </c>
      <c r="G84" s="54">
        <f t="shared" si="12"/>
        <v>8201</v>
      </c>
      <c r="H84" s="54">
        <f t="shared" si="12"/>
        <v>-1.7763568394002505E-14</v>
      </c>
      <c r="I84" s="54">
        <f t="shared" si="12"/>
        <v>100</v>
      </c>
    </row>
    <row r="87" ht="12.75">
      <c r="B87" s="3" t="s">
        <v>458</v>
      </c>
    </row>
    <row r="89" spans="2:9" ht="36.75" customHeight="1">
      <c r="B89" s="594" t="s">
        <v>318</v>
      </c>
      <c r="C89" s="596" t="s">
        <v>354</v>
      </c>
      <c r="D89" s="597"/>
      <c r="E89" s="596" t="s">
        <v>568</v>
      </c>
      <c r="F89" s="597"/>
      <c r="G89" s="596" t="s">
        <v>321</v>
      </c>
      <c r="H89" s="598"/>
      <c r="I89" s="597"/>
    </row>
    <row r="90" spans="2:9" ht="41.25" customHeight="1">
      <c r="B90" s="595"/>
      <c r="C90" s="6" t="s">
        <v>352</v>
      </c>
      <c r="D90" s="7" t="s">
        <v>353</v>
      </c>
      <c r="E90" s="7" t="s">
        <v>352</v>
      </c>
      <c r="F90" s="7" t="s">
        <v>353</v>
      </c>
      <c r="G90" s="7" t="s">
        <v>324</v>
      </c>
      <c r="H90" s="7" t="s">
        <v>325</v>
      </c>
      <c r="I90" s="7" t="s">
        <v>569</v>
      </c>
    </row>
    <row r="91" spans="2:9" ht="11.25">
      <c r="B91" s="13" t="s">
        <v>383</v>
      </c>
      <c r="C91" s="53">
        <f>C69</f>
        <v>96151</v>
      </c>
      <c r="D91" s="53">
        <f>D69</f>
        <v>110433</v>
      </c>
      <c r="E91" s="53">
        <f>C91/C94*100</f>
        <v>77.50862541514849</v>
      </c>
      <c r="F91" s="53">
        <f>D91/D94*100</f>
        <v>75.36288258777766</v>
      </c>
      <c r="G91" s="53">
        <f>D91-C91</f>
        <v>14282</v>
      </c>
      <c r="H91" s="53">
        <f>F91-E91</f>
        <v>-2.1457428273708246</v>
      </c>
      <c r="I91" s="53">
        <f>G91/G94*100</f>
        <v>63.52355112751857</v>
      </c>
    </row>
    <row r="92" spans="2:9" ht="22.5">
      <c r="B92" s="13" t="s">
        <v>384</v>
      </c>
      <c r="C92" s="53">
        <f>Данные!C88</f>
        <v>5320</v>
      </c>
      <c r="D92" s="53">
        <f>Данные!D88</f>
        <v>6578</v>
      </c>
      <c r="E92" s="53">
        <f>C92/C94*100</f>
        <v>4.288524167284687</v>
      </c>
      <c r="F92" s="53">
        <f>D92/D94*100</f>
        <v>4.489029924591394</v>
      </c>
      <c r="G92" s="53">
        <f>D92-C92</f>
        <v>1258</v>
      </c>
      <c r="H92" s="53">
        <f>F92-E92</f>
        <v>0.20050575730670683</v>
      </c>
      <c r="I92" s="53">
        <f>G92/G94*100</f>
        <v>5.595338700351377</v>
      </c>
    </row>
    <row r="93" spans="2:9" ht="22.5">
      <c r="B93" s="13" t="s">
        <v>385</v>
      </c>
      <c r="C93" s="53">
        <f>SUM(C78:C83)</f>
        <v>22581</v>
      </c>
      <c r="D93" s="53">
        <f>SUM(D78:D83)</f>
        <v>29524</v>
      </c>
      <c r="E93" s="53">
        <f>C93/C94*100</f>
        <v>18.202850417566825</v>
      </c>
      <c r="F93" s="53">
        <f>D93/D94*100</f>
        <v>20.148087487630942</v>
      </c>
      <c r="G93" s="53">
        <f>D93-C93</f>
        <v>6943</v>
      </c>
      <c r="H93" s="53">
        <f>F93-E93</f>
        <v>1.9452370700641168</v>
      </c>
      <c r="I93" s="53">
        <f>G93/G94*100</f>
        <v>30.881110172130054</v>
      </c>
    </row>
    <row r="94" spans="2:9" ht="11.25">
      <c r="B94" s="13" t="s">
        <v>386</v>
      </c>
      <c r="C94" s="53">
        <f aca="true" t="shared" si="13" ref="C94:I94">SUM(C91:C93)</f>
        <v>124052</v>
      </c>
      <c r="D94" s="53">
        <f t="shared" si="13"/>
        <v>146535</v>
      </c>
      <c r="E94" s="53">
        <f t="shared" si="13"/>
        <v>100</v>
      </c>
      <c r="F94" s="53">
        <f t="shared" si="13"/>
        <v>100</v>
      </c>
      <c r="G94" s="53">
        <f t="shared" si="13"/>
        <v>22483</v>
      </c>
      <c r="H94" s="53">
        <f t="shared" si="13"/>
        <v>0</v>
      </c>
      <c r="I94" s="53">
        <f t="shared" si="13"/>
        <v>100</v>
      </c>
    </row>
    <row r="95" spans="2:9" ht="22.5">
      <c r="B95" s="13" t="s">
        <v>388</v>
      </c>
      <c r="C95" s="65">
        <f>C91/C94</f>
        <v>0.7750862541514849</v>
      </c>
      <c r="D95" s="65">
        <f>D91/D94</f>
        <v>0.7536288258777767</v>
      </c>
      <c r="E95" s="57"/>
      <c r="F95" s="57"/>
      <c r="G95" s="57"/>
      <c r="H95" s="57"/>
      <c r="I95" s="57"/>
    </row>
    <row r="96" spans="2:9" ht="37.5" customHeight="1">
      <c r="B96" s="13" t="s">
        <v>570</v>
      </c>
      <c r="C96" s="65">
        <f>(C92+C93)/C91</f>
        <v>0.2901789892980832</v>
      </c>
      <c r="D96" s="65">
        <f>(D92+D93)/D91</f>
        <v>0.32691315096031076</v>
      </c>
      <c r="E96" s="57"/>
      <c r="F96" s="57"/>
      <c r="G96" s="57"/>
      <c r="H96" s="57"/>
      <c r="I96" s="57"/>
    </row>
    <row r="97" spans="2:9" ht="47.25" customHeight="1">
      <c r="B97" s="13" t="s">
        <v>389</v>
      </c>
      <c r="C97" s="65">
        <f>C93/(C91+C92)</f>
        <v>0.22253648825772882</v>
      </c>
      <c r="D97" s="65">
        <f>D93/(D91+D92)</f>
        <v>0.25231815812188596</v>
      </c>
      <c r="E97" s="57"/>
      <c r="F97" s="57"/>
      <c r="G97" s="57"/>
      <c r="H97" s="57"/>
      <c r="I97" s="57"/>
    </row>
    <row r="100" ht="12.75">
      <c r="B100" s="3"/>
    </row>
    <row r="101" spans="1:8" ht="11.25">
      <c r="A101" s="24"/>
      <c r="B101" s="24"/>
      <c r="C101" s="24"/>
      <c r="D101" s="24"/>
      <c r="E101" s="24"/>
      <c r="F101" s="24"/>
      <c r="G101" s="24"/>
      <c r="H101" s="24"/>
    </row>
    <row r="102" spans="1:8" ht="39.75" customHeight="1">
      <c r="A102" s="24"/>
      <c r="B102" s="25"/>
      <c r="C102" s="25"/>
      <c r="D102" s="25"/>
      <c r="E102" s="25"/>
      <c r="F102" s="25"/>
      <c r="G102" s="25"/>
      <c r="H102" s="24"/>
    </row>
    <row r="103" spans="1:8" ht="11.25">
      <c r="A103" s="24"/>
      <c r="B103" s="26"/>
      <c r="C103" s="26"/>
      <c r="D103" s="26"/>
      <c r="E103" s="27"/>
      <c r="F103" s="27"/>
      <c r="G103" s="27"/>
      <c r="H103" s="24"/>
    </row>
    <row r="104" spans="1:8" ht="11.25">
      <c r="A104" s="24"/>
      <c r="B104" s="26"/>
      <c r="C104" s="26"/>
      <c r="D104" s="26"/>
      <c r="E104" s="27"/>
      <c r="F104" s="27"/>
      <c r="G104" s="27"/>
      <c r="H104" s="24"/>
    </row>
    <row r="105" spans="1:8" ht="11.25">
      <c r="A105" s="24"/>
      <c r="B105" s="26"/>
      <c r="C105" s="26"/>
      <c r="D105" s="26"/>
      <c r="E105" s="27"/>
      <c r="F105" s="27"/>
      <c r="G105" s="27"/>
      <c r="H105" s="24"/>
    </row>
    <row r="106" spans="1:8" ht="11.25">
      <c r="A106" s="24"/>
      <c r="B106" s="26"/>
      <c r="C106" s="26"/>
      <c r="D106" s="26"/>
      <c r="E106" s="27"/>
      <c r="F106" s="27"/>
      <c r="G106" s="27"/>
      <c r="H106" s="24"/>
    </row>
    <row r="107" spans="1:8" ht="11.25" customHeight="1">
      <c r="A107" s="24"/>
      <c r="B107" s="26"/>
      <c r="C107" s="26"/>
      <c r="D107" s="26"/>
      <c r="E107" s="27"/>
      <c r="F107" s="27"/>
      <c r="G107" s="27"/>
      <c r="H107" s="24"/>
    </row>
    <row r="108" spans="1:8" ht="12.75" customHeight="1">
      <c r="A108" s="24"/>
      <c r="B108" s="26"/>
      <c r="C108" s="26"/>
      <c r="D108" s="26"/>
      <c r="E108" s="27"/>
      <c r="F108" s="27"/>
      <c r="G108" s="27"/>
      <c r="H108" s="24"/>
    </row>
    <row r="109" spans="1:8" ht="11.25">
      <c r="A109" s="24"/>
      <c r="B109" s="26"/>
      <c r="C109" s="26"/>
      <c r="D109" s="26"/>
      <c r="E109" s="27"/>
      <c r="F109" s="27"/>
      <c r="G109" s="27"/>
      <c r="H109" s="24"/>
    </row>
    <row r="110" spans="1:8" ht="11.25">
      <c r="A110" s="24"/>
      <c r="B110" s="26"/>
      <c r="C110" s="26"/>
      <c r="D110" s="26"/>
      <c r="E110" s="27"/>
      <c r="F110" s="27"/>
      <c r="G110" s="27"/>
      <c r="H110" s="24"/>
    </row>
    <row r="111" spans="1:8" ht="11.25">
      <c r="A111" s="24"/>
      <c r="B111" s="26"/>
      <c r="C111" s="26"/>
      <c r="D111" s="26"/>
      <c r="E111" s="27"/>
      <c r="F111" s="27"/>
      <c r="G111" s="27"/>
      <c r="H111" s="24"/>
    </row>
    <row r="112" spans="1:8" ht="12" customHeight="1">
      <c r="A112" s="24"/>
      <c r="B112" s="26"/>
      <c r="C112" s="26"/>
      <c r="D112" s="26"/>
      <c r="E112" s="27"/>
      <c r="F112" s="27"/>
      <c r="G112" s="27"/>
      <c r="H112" s="24"/>
    </row>
    <row r="113" spans="1:15" ht="11.25">
      <c r="A113" s="24"/>
      <c r="B113" s="24"/>
      <c r="C113" s="24"/>
      <c r="D113" s="24"/>
      <c r="E113" s="24"/>
      <c r="F113" s="24"/>
      <c r="G113" s="24"/>
      <c r="H113" s="24"/>
      <c r="K113" s="19"/>
      <c r="L113" s="19"/>
      <c r="M113" s="19"/>
      <c r="N113" s="19"/>
      <c r="O113" s="19"/>
    </row>
    <row r="114" spans="1:15" ht="11.25">
      <c r="A114" s="24"/>
      <c r="B114" s="24"/>
      <c r="C114" s="24"/>
      <c r="D114" s="24"/>
      <c r="E114" s="24"/>
      <c r="F114" s="24"/>
      <c r="G114" s="24"/>
      <c r="H114" s="24"/>
      <c r="K114" s="19"/>
      <c r="L114" s="19"/>
      <c r="M114" s="19"/>
      <c r="N114" s="19"/>
      <c r="O114" s="19"/>
    </row>
    <row r="115" spans="1:15" ht="11.25">
      <c r="A115" s="24"/>
      <c r="B115" s="24"/>
      <c r="C115" s="24"/>
      <c r="D115" s="24"/>
      <c r="E115" s="24"/>
      <c r="F115" s="24"/>
      <c r="G115" s="24"/>
      <c r="H115" s="24"/>
      <c r="K115" s="19"/>
      <c r="L115" s="19"/>
      <c r="M115" s="19"/>
      <c r="N115" s="19"/>
      <c r="O115" s="19"/>
    </row>
    <row r="116" spans="1:15" ht="11.25">
      <c r="A116" s="24"/>
      <c r="B116" s="24"/>
      <c r="C116" s="24"/>
      <c r="D116" s="24"/>
      <c r="E116" s="24"/>
      <c r="F116" s="24"/>
      <c r="G116" s="24"/>
      <c r="H116" s="24"/>
      <c r="K116" s="19"/>
      <c r="L116" s="19"/>
      <c r="M116" s="19"/>
      <c r="N116" s="19"/>
      <c r="O116" s="19"/>
    </row>
    <row r="117" spans="1:8" ht="11.25">
      <c r="A117" s="24"/>
      <c r="B117" s="24"/>
      <c r="C117" s="24"/>
      <c r="D117" s="24"/>
      <c r="E117" s="24"/>
      <c r="F117" s="24"/>
      <c r="G117" s="24"/>
      <c r="H117" s="24"/>
    </row>
    <row r="118" spans="1:8" ht="11.25">
      <c r="A118" s="24"/>
      <c r="B118" s="24"/>
      <c r="C118" s="24"/>
      <c r="D118" s="24"/>
      <c r="E118" s="24"/>
      <c r="F118" s="24"/>
      <c r="G118" s="24"/>
      <c r="H118" s="24"/>
    </row>
    <row r="119" spans="1:8" ht="11.25">
      <c r="A119" s="24"/>
      <c r="B119" s="24"/>
      <c r="C119" s="24"/>
      <c r="D119" s="24"/>
      <c r="E119" s="24"/>
      <c r="F119" s="24"/>
      <c r="G119" s="24"/>
      <c r="H119" s="24"/>
    </row>
    <row r="120" spans="1:8" ht="11.25">
      <c r="A120" s="24"/>
      <c r="B120" s="24"/>
      <c r="C120" s="24"/>
      <c r="D120" s="24"/>
      <c r="E120" s="24"/>
      <c r="F120" s="24"/>
      <c r="G120" s="24"/>
      <c r="H120" s="24"/>
    </row>
    <row r="121" spans="1:8" ht="11.25">
      <c r="A121" s="24"/>
      <c r="B121" s="24"/>
      <c r="C121" s="24"/>
      <c r="D121" s="24"/>
      <c r="E121" s="24"/>
      <c r="F121" s="24"/>
      <c r="G121" s="24"/>
      <c r="H121" s="24"/>
    </row>
    <row r="122" spans="1:8" ht="11.25">
      <c r="A122" s="24"/>
      <c r="B122" s="24"/>
      <c r="C122" s="24"/>
      <c r="D122" s="24"/>
      <c r="E122" s="24"/>
      <c r="F122" s="24"/>
      <c r="G122" s="24"/>
      <c r="H122" s="24"/>
    </row>
    <row r="123" spans="1:8" ht="11.25">
      <c r="A123" s="24"/>
      <c r="B123" s="24"/>
      <c r="C123" s="24"/>
      <c r="D123" s="24"/>
      <c r="E123" s="24"/>
      <c r="F123" s="24"/>
      <c r="G123" s="24"/>
      <c r="H123" s="24"/>
    </row>
    <row r="124" spans="1:8" ht="11.25">
      <c r="A124" s="24"/>
      <c r="B124" s="24"/>
      <c r="C124" s="24"/>
      <c r="D124" s="24"/>
      <c r="E124" s="24"/>
      <c r="F124" s="24"/>
      <c r="G124" s="24"/>
      <c r="H124" s="24"/>
    </row>
    <row r="125" spans="1:8" ht="11.25">
      <c r="A125" s="24"/>
      <c r="B125" s="24"/>
      <c r="C125" s="24"/>
      <c r="D125" s="24"/>
      <c r="E125" s="24"/>
      <c r="F125" s="24"/>
      <c r="G125" s="24"/>
      <c r="H125" s="24"/>
    </row>
    <row r="126" spans="1:8" ht="11.25">
      <c r="A126" s="24"/>
      <c r="B126" s="24"/>
      <c r="C126" s="24"/>
      <c r="D126" s="24"/>
      <c r="E126" s="24"/>
      <c r="F126" s="24"/>
      <c r="G126" s="24"/>
      <c r="H126" s="24"/>
    </row>
    <row r="127" spans="1:8" ht="11.25">
      <c r="A127" s="24"/>
      <c r="B127" s="24"/>
      <c r="C127" s="24"/>
      <c r="D127" s="24"/>
      <c r="E127" s="24"/>
      <c r="F127" s="24"/>
      <c r="G127" s="24"/>
      <c r="H127" s="24"/>
    </row>
    <row r="128" spans="1:8" ht="11.25">
      <c r="A128" s="24"/>
      <c r="B128" s="24"/>
      <c r="C128" s="24"/>
      <c r="D128" s="24"/>
      <c r="E128" s="24"/>
      <c r="F128" s="24"/>
      <c r="G128" s="24"/>
      <c r="H128" s="24"/>
    </row>
    <row r="129" spans="1:8" ht="11.25">
      <c r="A129" s="24"/>
      <c r="B129" s="24"/>
      <c r="C129" s="24"/>
      <c r="D129" s="24"/>
      <c r="E129" s="24"/>
      <c r="F129" s="24"/>
      <c r="G129" s="24"/>
      <c r="H129" s="24"/>
    </row>
    <row r="130" spans="1:8" ht="11.25">
      <c r="A130" s="24"/>
      <c r="B130" s="24"/>
      <c r="C130" s="24"/>
      <c r="D130" s="24"/>
      <c r="E130" s="24"/>
      <c r="F130" s="24"/>
      <c r="G130" s="24"/>
      <c r="H130" s="24"/>
    </row>
    <row r="131" spans="1:8" ht="11.25">
      <c r="A131" s="24"/>
      <c r="B131" s="24"/>
      <c r="C131" s="24"/>
      <c r="D131" s="24"/>
      <c r="E131" s="24"/>
      <c r="F131" s="24"/>
      <c r="G131" s="24"/>
      <c r="H131" s="24"/>
    </row>
    <row r="132" spans="1:8" ht="11.25">
      <c r="A132" s="24"/>
      <c r="B132" s="24"/>
      <c r="C132" s="24"/>
      <c r="D132" s="24"/>
      <c r="E132" s="24"/>
      <c r="F132" s="24"/>
      <c r="G132" s="24"/>
      <c r="H132" s="24"/>
    </row>
    <row r="133" spans="1:8" ht="11.25">
      <c r="A133" s="24"/>
      <c r="B133" s="24"/>
      <c r="C133" s="24"/>
      <c r="D133" s="24"/>
      <c r="E133" s="24"/>
      <c r="F133" s="24"/>
      <c r="G133" s="24"/>
      <c r="H133" s="24"/>
    </row>
    <row r="134" spans="1:8" ht="11.25">
      <c r="A134" s="24"/>
      <c r="B134" s="24"/>
      <c r="C134" s="24"/>
      <c r="D134" s="24"/>
      <c r="E134" s="24"/>
      <c r="F134" s="24"/>
      <c r="G134" s="24"/>
      <c r="H134" s="24"/>
    </row>
    <row r="135" spans="1:8" ht="11.25">
      <c r="A135" s="24"/>
      <c r="B135" s="24"/>
      <c r="C135" s="24"/>
      <c r="D135" s="24"/>
      <c r="E135" s="24"/>
      <c r="F135" s="24"/>
      <c r="G135" s="24"/>
      <c r="H135" s="24"/>
    </row>
    <row r="136" spans="1:8" ht="11.25">
      <c r="A136" s="24"/>
      <c r="B136" s="24"/>
      <c r="C136" s="24"/>
      <c r="D136" s="24"/>
      <c r="E136" s="24"/>
      <c r="F136" s="24"/>
      <c r="G136" s="24"/>
      <c r="H136" s="24"/>
    </row>
    <row r="137" spans="1:8" ht="11.25">
      <c r="A137" s="24"/>
      <c r="B137" s="24"/>
      <c r="C137" s="24"/>
      <c r="D137" s="24"/>
      <c r="E137" s="24"/>
      <c r="F137" s="24"/>
      <c r="G137" s="24"/>
      <c r="H137" s="24"/>
    </row>
    <row r="138" spans="1:8" ht="11.25">
      <c r="A138" s="24"/>
      <c r="B138" s="24"/>
      <c r="C138" s="24"/>
      <c r="D138" s="24"/>
      <c r="E138" s="24"/>
      <c r="F138" s="24"/>
      <c r="G138" s="24"/>
      <c r="H138" s="24"/>
    </row>
    <row r="139" spans="1:8" ht="11.25">
      <c r="A139" s="24"/>
      <c r="B139" s="24"/>
      <c r="C139" s="24"/>
      <c r="D139" s="24"/>
      <c r="E139" s="24"/>
      <c r="F139" s="24"/>
      <c r="G139" s="24"/>
      <c r="H139" s="24"/>
    </row>
    <row r="140" spans="1:8" ht="11.25">
      <c r="A140" s="24"/>
      <c r="B140" s="24"/>
      <c r="C140" s="24"/>
      <c r="D140" s="24"/>
      <c r="E140" s="24"/>
      <c r="F140" s="24"/>
      <c r="G140" s="24"/>
      <c r="H140" s="24"/>
    </row>
    <row r="141" spans="1:8" ht="11.25">
      <c r="A141" s="24"/>
      <c r="B141" s="24"/>
      <c r="C141" s="24"/>
      <c r="D141" s="24"/>
      <c r="E141" s="24"/>
      <c r="F141" s="24"/>
      <c r="G141" s="24"/>
      <c r="H141" s="24"/>
    </row>
    <row r="142" spans="1:8" ht="11.25">
      <c r="A142" s="24"/>
      <c r="B142" s="24"/>
      <c r="C142" s="24"/>
      <c r="D142" s="24"/>
      <c r="E142" s="24"/>
      <c r="F142" s="24"/>
      <c r="G142" s="24"/>
      <c r="H142" s="24"/>
    </row>
    <row r="143" spans="1:8" ht="11.25">
      <c r="A143" s="24"/>
      <c r="B143" s="24"/>
      <c r="C143" s="24"/>
      <c r="D143" s="24"/>
      <c r="E143" s="24"/>
      <c r="F143" s="24"/>
      <c r="G143" s="24"/>
      <c r="H143" s="24"/>
    </row>
    <row r="144" spans="1:8" ht="11.25">
      <c r="A144" s="24"/>
      <c r="B144" s="24"/>
      <c r="C144" s="24"/>
      <c r="D144" s="24"/>
      <c r="E144" s="24"/>
      <c r="F144" s="24"/>
      <c r="G144" s="24"/>
      <c r="H144" s="24"/>
    </row>
    <row r="145" spans="1:8" ht="11.25">
      <c r="A145" s="24"/>
      <c r="B145" s="24"/>
      <c r="C145" s="24"/>
      <c r="D145" s="24"/>
      <c r="E145" s="24"/>
      <c r="F145" s="24"/>
      <c r="G145" s="24"/>
      <c r="H145" s="24"/>
    </row>
    <row r="146" spans="1:8" ht="11.25">
      <c r="A146" s="24"/>
      <c r="B146" s="24"/>
      <c r="C146" s="24"/>
      <c r="D146" s="24"/>
      <c r="E146" s="24"/>
      <c r="F146" s="24"/>
      <c r="G146" s="24"/>
      <c r="H146" s="24"/>
    </row>
    <row r="147" spans="1:8" ht="11.25">
      <c r="A147" s="24"/>
      <c r="B147" s="24"/>
      <c r="C147" s="24"/>
      <c r="D147" s="24"/>
      <c r="E147" s="24"/>
      <c r="F147" s="24"/>
      <c r="G147" s="24"/>
      <c r="H147" s="24"/>
    </row>
    <row r="148" spans="1:8" ht="11.25">
      <c r="A148" s="24"/>
      <c r="B148" s="24"/>
      <c r="C148" s="24"/>
      <c r="D148" s="24"/>
      <c r="E148" s="24"/>
      <c r="F148" s="24"/>
      <c r="G148" s="24"/>
      <c r="H148" s="24"/>
    </row>
    <row r="149" spans="1:8" ht="11.25">
      <c r="A149" s="24"/>
      <c r="B149" s="24"/>
      <c r="C149" s="24"/>
      <c r="D149" s="24"/>
      <c r="E149" s="24"/>
      <c r="F149" s="24"/>
      <c r="G149" s="24"/>
      <c r="H149" s="24"/>
    </row>
    <row r="150" spans="1:8" ht="11.25">
      <c r="A150" s="24"/>
      <c r="B150" s="24"/>
      <c r="C150" s="24"/>
      <c r="D150" s="24"/>
      <c r="E150" s="24"/>
      <c r="F150" s="24"/>
      <c r="G150" s="24"/>
      <c r="H150" s="24"/>
    </row>
    <row r="151" spans="1:8" ht="11.25">
      <c r="A151" s="24"/>
      <c r="B151" s="24"/>
      <c r="C151" s="24"/>
      <c r="D151" s="24"/>
      <c r="E151" s="24"/>
      <c r="F151" s="24"/>
      <c r="G151" s="24"/>
      <c r="H151" s="24"/>
    </row>
    <row r="152" spans="1:8" ht="11.25">
      <c r="A152" s="24"/>
      <c r="B152" s="24"/>
      <c r="C152" s="24"/>
      <c r="D152" s="24"/>
      <c r="E152" s="24"/>
      <c r="F152" s="24"/>
      <c r="G152" s="24"/>
      <c r="H152" s="24"/>
    </row>
    <row r="153" spans="1:8" ht="11.25">
      <c r="A153" s="24"/>
      <c r="B153" s="24"/>
      <c r="C153" s="24"/>
      <c r="D153" s="24"/>
      <c r="E153" s="24"/>
      <c r="F153" s="24"/>
      <c r="G153" s="24"/>
      <c r="H153" s="24"/>
    </row>
    <row r="154" spans="1:8" ht="11.25">
      <c r="A154" s="24"/>
      <c r="B154" s="24"/>
      <c r="C154" s="24"/>
      <c r="D154" s="24"/>
      <c r="E154" s="24"/>
      <c r="F154" s="24"/>
      <c r="G154" s="24"/>
      <c r="H154" s="24"/>
    </row>
    <row r="155" spans="1:8" ht="11.25">
      <c r="A155" s="24"/>
      <c r="B155" s="24"/>
      <c r="C155" s="24"/>
      <c r="D155" s="24"/>
      <c r="E155" s="24"/>
      <c r="F155" s="24"/>
      <c r="G155" s="24"/>
      <c r="H155" s="24"/>
    </row>
    <row r="156" spans="1:8" ht="11.25">
      <c r="A156" s="24"/>
      <c r="B156" s="24"/>
      <c r="C156" s="24"/>
      <c r="D156" s="24"/>
      <c r="E156" s="24"/>
      <c r="F156" s="24"/>
      <c r="G156" s="24"/>
      <c r="H156" s="24"/>
    </row>
    <row r="157" spans="1:8" ht="11.25">
      <c r="A157" s="24"/>
      <c r="B157" s="24"/>
      <c r="C157" s="24"/>
      <c r="D157" s="24"/>
      <c r="E157" s="24"/>
      <c r="F157" s="24"/>
      <c r="G157" s="24"/>
      <c r="H157" s="24"/>
    </row>
    <row r="158" spans="1:8" ht="11.25">
      <c r="A158" s="24"/>
      <c r="B158" s="24"/>
      <c r="C158" s="24"/>
      <c r="D158" s="24"/>
      <c r="E158" s="24"/>
      <c r="F158" s="24"/>
      <c r="G158" s="24"/>
      <c r="H158" s="24"/>
    </row>
    <row r="159" spans="1:8" ht="11.25">
      <c r="A159" s="24"/>
      <c r="B159" s="24"/>
      <c r="C159" s="24"/>
      <c r="D159" s="24"/>
      <c r="E159" s="24"/>
      <c r="F159" s="24"/>
      <c r="G159" s="24"/>
      <c r="H159" s="24"/>
    </row>
    <row r="160" spans="1:8" ht="11.25">
      <c r="A160" s="24"/>
      <c r="B160" s="24"/>
      <c r="C160" s="24"/>
      <c r="D160" s="24"/>
      <c r="E160" s="24"/>
      <c r="F160" s="24"/>
      <c r="G160" s="24"/>
      <c r="H160" s="24"/>
    </row>
    <row r="161" spans="1:8" ht="11.25">
      <c r="A161" s="24"/>
      <c r="B161" s="24"/>
      <c r="C161" s="24"/>
      <c r="D161" s="24"/>
      <c r="E161" s="24"/>
      <c r="F161" s="24"/>
      <c r="G161" s="24"/>
      <c r="H161" s="24"/>
    </row>
    <row r="162" spans="1:8" ht="11.25">
      <c r="A162" s="24"/>
      <c r="B162" s="24"/>
      <c r="C162" s="24"/>
      <c r="D162" s="24"/>
      <c r="E162" s="24"/>
      <c r="F162" s="24"/>
      <c r="G162" s="24"/>
      <c r="H162" s="24"/>
    </row>
    <row r="163" spans="1:8" ht="11.25">
      <c r="A163" s="24"/>
      <c r="B163" s="24"/>
      <c r="C163" s="24"/>
      <c r="D163" s="24"/>
      <c r="E163" s="24"/>
      <c r="F163" s="24"/>
      <c r="G163" s="24"/>
      <c r="H163" s="24"/>
    </row>
    <row r="164" spans="1:8" ht="11.25">
      <c r="A164" s="24"/>
      <c r="B164" s="24"/>
      <c r="C164" s="24"/>
      <c r="D164" s="24"/>
      <c r="E164" s="24"/>
      <c r="F164" s="24"/>
      <c r="G164" s="24"/>
      <c r="H164" s="24"/>
    </row>
    <row r="165" spans="1:8" ht="11.25">
      <c r="A165" s="24"/>
      <c r="B165" s="24"/>
      <c r="C165" s="24"/>
      <c r="D165" s="24"/>
      <c r="E165" s="24"/>
      <c r="F165" s="24"/>
      <c r="G165" s="24"/>
      <c r="H165" s="24"/>
    </row>
    <row r="166" spans="1:8" ht="11.25">
      <c r="A166" s="24"/>
      <c r="B166" s="24"/>
      <c r="C166" s="24"/>
      <c r="D166" s="24"/>
      <c r="E166" s="24"/>
      <c r="F166" s="24"/>
      <c r="G166" s="24"/>
      <c r="H166" s="24"/>
    </row>
    <row r="167" spans="1:8" ht="11.25">
      <c r="A167" s="24"/>
      <c r="B167" s="24"/>
      <c r="C167" s="24"/>
      <c r="D167" s="24"/>
      <c r="E167" s="24"/>
      <c r="F167" s="24"/>
      <c r="G167" s="24"/>
      <c r="H167" s="24"/>
    </row>
    <row r="168" spans="1:8" ht="11.25">
      <c r="A168" s="24"/>
      <c r="B168" s="24"/>
      <c r="C168" s="24"/>
      <c r="D168" s="24"/>
      <c r="E168" s="24"/>
      <c r="F168" s="24"/>
      <c r="G168" s="24"/>
      <c r="H168" s="24"/>
    </row>
    <row r="169" spans="1:8" ht="11.25">
      <c r="A169" s="24"/>
      <c r="B169" s="24"/>
      <c r="C169" s="24"/>
      <c r="D169" s="24"/>
      <c r="E169" s="24"/>
      <c r="F169" s="24"/>
      <c r="G169" s="24"/>
      <c r="H169" s="24"/>
    </row>
    <row r="170" spans="1:8" ht="11.25">
      <c r="A170" s="24"/>
      <c r="B170" s="24"/>
      <c r="C170" s="24"/>
      <c r="D170" s="24"/>
      <c r="E170" s="24"/>
      <c r="F170" s="24"/>
      <c r="G170" s="24"/>
      <c r="H170" s="24"/>
    </row>
    <row r="171" spans="1:8" ht="11.25">
      <c r="A171" s="24"/>
      <c r="B171" s="24"/>
      <c r="C171" s="24"/>
      <c r="D171" s="24"/>
      <c r="E171" s="24"/>
      <c r="F171" s="24"/>
      <c r="G171" s="24"/>
      <c r="H171" s="24"/>
    </row>
    <row r="172" spans="1:8" ht="11.25">
      <c r="A172" s="24"/>
      <c r="B172" s="24"/>
      <c r="C172" s="24"/>
      <c r="D172" s="24"/>
      <c r="E172" s="24"/>
      <c r="F172" s="24"/>
      <c r="G172" s="24"/>
      <c r="H172" s="24"/>
    </row>
    <row r="173" spans="1:8" ht="11.25">
      <c r="A173" s="24"/>
      <c r="B173" s="24"/>
      <c r="C173" s="24"/>
      <c r="D173" s="24"/>
      <c r="E173" s="24"/>
      <c r="F173" s="24"/>
      <c r="G173" s="24"/>
      <c r="H173" s="24"/>
    </row>
    <row r="174" spans="1:8" ht="11.25">
      <c r="A174" s="24"/>
      <c r="B174" s="24"/>
      <c r="C174" s="24"/>
      <c r="D174" s="24"/>
      <c r="E174" s="24"/>
      <c r="F174" s="24"/>
      <c r="G174" s="24"/>
      <c r="H174" s="24"/>
    </row>
    <row r="175" spans="1:8" ht="11.25">
      <c r="A175" s="24"/>
      <c r="B175" s="24"/>
      <c r="C175" s="24"/>
      <c r="D175" s="24"/>
      <c r="E175" s="24"/>
      <c r="F175" s="24"/>
      <c r="G175" s="24"/>
      <c r="H175" s="24"/>
    </row>
    <row r="176" spans="1:8" ht="11.25">
      <c r="A176" s="24"/>
      <c r="B176" s="24"/>
      <c r="C176" s="24"/>
      <c r="D176" s="24"/>
      <c r="E176" s="24"/>
      <c r="F176" s="24"/>
      <c r="G176" s="24"/>
      <c r="H176" s="24"/>
    </row>
    <row r="177" spans="1:8" ht="11.25">
      <c r="A177" s="24"/>
      <c r="B177" s="24"/>
      <c r="C177" s="24"/>
      <c r="D177" s="24"/>
      <c r="E177" s="24"/>
      <c r="F177" s="24"/>
      <c r="G177" s="24"/>
      <c r="H177" s="24"/>
    </row>
    <row r="178" spans="1:8" ht="11.25">
      <c r="A178" s="24"/>
      <c r="B178" s="24"/>
      <c r="C178" s="24"/>
      <c r="D178" s="24"/>
      <c r="E178" s="24"/>
      <c r="F178" s="24"/>
      <c r="G178" s="24"/>
      <c r="H178" s="24"/>
    </row>
    <row r="179" spans="1:8" ht="11.25">
      <c r="A179" s="24"/>
      <c r="B179" s="24"/>
      <c r="C179" s="24"/>
      <c r="D179" s="24"/>
      <c r="E179" s="24"/>
      <c r="F179" s="24"/>
      <c r="G179" s="24"/>
      <c r="H179" s="24"/>
    </row>
    <row r="180" spans="1:8" ht="11.25">
      <c r="A180" s="24"/>
      <c r="B180" s="24"/>
      <c r="C180" s="24"/>
      <c r="D180" s="24"/>
      <c r="E180" s="24"/>
      <c r="F180" s="24"/>
      <c r="G180" s="24"/>
      <c r="H180" s="24"/>
    </row>
    <row r="181" spans="1:8" ht="11.25">
      <c r="A181" s="24"/>
      <c r="B181" s="24"/>
      <c r="C181" s="24"/>
      <c r="D181" s="24"/>
      <c r="E181" s="24"/>
      <c r="F181" s="24"/>
      <c r="G181" s="24"/>
      <c r="H181" s="24"/>
    </row>
    <row r="182" spans="1:8" ht="11.25">
      <c r="A182" s="24"/>
      <c r="B182" s="24"/>
      <c r="C182" s="24"/>
      <c r="D182" s="24"/>
      <c r="E182" s="24"/>
      <c r="F182" s="24"/>
      <c r="G182" s="24"/>
      <c r="H182" s="24"/>
    </row>
    <row r="183" spans="1:8" ht="11.25">
      <c r="A183" s="24"/>
      <c r="B183" s="24"/>
      <c r="C183" s="24"/>
      <c r="D183" s="24"/>
      <c r="E183" s="24"/>
      <c r="F183" s="24"/>
      <c r="G183" s="24"/>
      <c r="H183" s="24"/>
    </row>
    <row r="184" spans="1:8" ht="11.25">
      <c r="A184" s="24"/>
      <c r="B184" s="24"/>
      <c r="C184" s="24"/>
      <c r="D184" s="24"/>
      <c r="E184" s="24"/>
      <c r="F184" s="24"/>
      <c r="G184" s="24"/>
      <c r="H184" s="24"/>
    </row>
    <row r="185" spans="1:8" ht="11.25">
      <c r="A185" s="24"/>
      <c r="B185" s="24"/>
      <c r="C185" s="24"/>
      <c r="D185" s="24"/>
      <c r="E185" s="24"/>
      <c r="F185" s="24"/>
      <c r="G185" s="24"/>
      <c r="H185" s="24"/>
    </row>
    <row r="186" spans="1:8" ht="11.25">
      <c r="A186" s="24"/>
      <c r="B186" s="24"/>
      <c r="C186" s="24"/>
      <c r="D186" s="24"/>
      <c r="E186" s="24"/>
      <c r="F186" s="24"/>
      <c r="G186" s="24"/>
      <c r="H186" s="24"/>
    </row>
    <row r="187" spans="1:8" ht="11.25">
      <c r="A187" s="24"/>
      <c r="B187" s="24"/>
      <c r="C187" s="24"/>
      <c r="D187" s="24"/>
      <c r="E187" s="24"/>
      <c r="F187" s="24"/>
      <c r="G187" s="24"/>
      <c r="H187" s="24"/>
    </row>
    <row r="188" spans="1:8" ht="11.25">
      <c r="A188" s="24"/>
      <c r="B188" s="24"/>
      <c r="C188" s="24"/>
      <c r="D188" s="24"/>
      <c r="E188" s="24"/>
      <c r="F188" s="24"/>
      <c r="G188" s="24"/>
      <c r="H188" s="24"/>
    </row>
    <row r="189" spans="1:8" ht="11.25">
      <c r="A189" s="24"/>
      <c r="B189" s="24"/>
      <c r="C189" s="24"/>
      <c r="D189" s="24"/>
      <c r="E189" s="24"/>
      <c r="F189" s="24"/>
      <c r="G189" s="24"/>
      <c r="H189" s="24"/>
    </row>
    <row r="190" spans="1:8" ht="11.25">
      <c r="A190" s="24"/>
      <c r="B190" s="24"/>
      <c r="C190" s="24"/>
      <c r="D190" s="24"/>
      <c r="E190" s="24"/>
      <c r="F190" s="24"/>
      <c r="G190" s="24"/>
      <c r="H190" s="24"/>
    </row>
    <row r="191" spans="1:8" ht="11.25">
      <c r="A191" s="24"/>
      <c r="B191" s="24"/>
      <c r="C191" s="24"/>
      <c r="D191" s="24"/>
      <c r="E191" s="24"/>
      <c r="F191" s="24"/>
      <c r="G191" s="24"/>
      <c r="H191" s="24"/>
    </row>
    <row r="192" spans="1:8" ht="11.25">
      <c r="A192" s="24"/>
      <c r="B192" s="24"/>
      <c r="C192" s="24"/>
      <c r="D192" s="24"/>
      <c r="E192" s="24"/>
      <c r="F192" s="24"/>
      <c r="G192" s="24"/>
      <c r="H192" s="24"/>
    </row>
    <row r="193" spans="1:8" ht="11.25">
      <c r="A193" s="24"/>
      <c r="B193" s="24"/>
      <c r="C193" s="24"/>
      <c r="D193" s="24"/>
      <c r="E193" s="24"/>
      <c r="F193" s="24"/>
      <c r="G193" s="24"/>
      <c r="H193" s="24"/>
    </row>
    <row r="194" spans="1:8" ht="11.25">
      <c r="A194" s="24"/>
      <c r="B194" s="24"/>
      <c r="C194" s="24"/>
      <c r="D194" s="24"/>
      <c r="E194" s="24"/>
      <c r="F194" s="24"/>
      <c r="G194" s="24"/>
      <c r="H194" s="24"/>
    </row>
    <row r="195" spans="1:8" ht="11.25">
      <c r="A195" s="24"/>
      <c r="B195" s="24"/>
      <c r="C195" s="24"/>
      <c r="D195" s="24"/>
      <c r="E195" s="24"/>
      <c r="F195" s="24"/>
      <c r="G195" s="24"/>
      <c r="H195" s="24"/>
    </row>
    <row r="196" spans="1:8" ht="11.25">
      <c r="A196" s="24"/>
      <c r="B196" s="24"/>
      <c r="C196" s="24"/>
      <c r="D196" s="24"/>
      <c r="E196" s="24"/>
      <c r="F196" s="24"/>
      <c r="G196" s="24"/>
      <c r="H196" s="24"/>
    </row>
    <row r="197" spans="1:8" ht="11.25">
      <c r="A197" s="24"/>
      <c r="B197" s="24"/>
      <c r="C197" s="24"/>
      <c r="D197" s="24"/>
      <c r="E197" s="24"/>
      <c r="F197" s="24"/>
      <c r="G197" s="24"/>
      <c r="H197" s="24"/>
    </row>
    <row r="198" spans="1:8" ht="11.25">
      <c r="A198" s="24"/>
      <c r="B198" s="24"/>
      <c r="C198" s="24"/>
      <c r="D198" s="24"/>
      <c r="E198" s="24"/>
      <c r="F198" s="24"/>
      <c r="G198" s="24"/>
      <c r="H198" s="24"/>
    </row>
    <row r="199" spans="1:8" ht="11.25">
      <c r="A199" s="24"/>
      <c r="B199" s="24"/>
      <c r="C199" s="24"/>
      <c r="D199" s="24"/>
      <c r="E199" s="24"/>
      <c r="F199" s="24"/>
      <c r="G199" s="24"/>
      <c r="H199" s="24"/>
    </row>
    <row r="200" spans="1:8" ht="11.25">
      <c r="A200" s="24"/>
      <c r="B200" s="24"/>
      <c r="C200" s="24"/>
      <c r="D200" s="24"/>
      <c r="E200" s="24"/>
      <c r="F200" s="24"/>
      <c r="G200" s="24"/>
      <c r="H200" s="24"/>
    </row>
    <row r="201" spans="1:8" ht="11.25">
      <c r="A201" s="24"/>
      <c r="B201" s="24"/>
      <c r="C201" s="24"/>
      <c r="D201" s="24"/>
      <c r="E201" s="24"/>
      <c r="F201" s="24"/>
      <c r="G201" s="24"/>
      <c r="H201" s="24"/>
    </row>
    <row r="202" spans="1:8" ht="11.25">
      <c r="A202" s="24"/>
      <c r="B202" s="24"/>
      <c r="C202" s="24"/>
      <c r="D202" s="24"/>
      <c r="E202" s="24"/>
      <c r="F202" s="24"/>
      <c r="G202" s="24"/>
      <c r="H202" s="24"/>
    </row>
    <row r="203" spans="1:8" ht="11.25">
      <c r="A203" s="24"/>
      <c r="B203" s="24"/>
      <c r="C203" s="24"/>
      <c r="D203" s="24"/>
      <c r="E203" s="24"/>
      <c r="F203" s="24"/>
      <c r="G203" s="24"/>
      <c r="H203" s="24"/>
    </row>
    <row r="204" spans="1:8" ht="11.25">
      <c r="A204" s="24"/>
      <c r="B204" s="24"/>
      <c r="C204" s="24"/>
      <c r="D204" s="24"/>
      <c r="E204" s="24"/>
      <c r="F204" s="24"/>
      <c r="G204" s="24"/>
      <c r="H204" s="24"/>
    </row>
    <row r="205" spans="1:8" ht="11.25">
      <c r="A205" s="24"/>
      <c r="B205" s="24"/>
      <c r="C205" s="24"/>
      <c r="D205" s="24"/>
      <c r="E205" s="24"/>
      <c r="F205" s="24"/>
      <c r="G205" s="24"/>
      <c r="H205" s="24"/>
    </row>
    <row r="206" spans="1:8" ht="11.25">
      <c r="A206" s="24"/>
      <c r="B206" s="24"/>
      <c r="C206" s="24"/>
      <c r="D206" s="24"/>
      <c r="E206" s="24"/>
      <c r="F206" s="24"/>
      <c r="G206" s="24"/>
      <c r="H206" s="24"/>
    </row>
    <row r="207" spans="1:8" ht="11.25">
      <c r="A207" s="24"/>
      <c r="B207" s="24"/>
      <c r="C207" s="24"/>
      <c r="D207" s="24"/>
      <c r="E207" s="24"/>
      <c r="F207" s="24"/>
      <c r="G207" s="24"/>
      <c r="H207" s="24"/>
    </row>
    <row r="208" spans="1:8" ht="11.25">
      <c r="A208" s="24"/>
      <c r="B208" s="24"/>
      <c r="C208" s="24"/>
      <c r="D208" s="24"/>
      <c r="E208" s="24"/>
      <c r="F208" s="24"/>
      <c r="G208" s="24"/>
      <c r="H208" s="24"/>
    </row>
    <row r="209" spans="1:8" ht="11.25">
      <c r="A209" s="24"/>
      <c r="B209" s="24"/>
      <c r="C209" s="24"/>
      <c r="D209" s="24"/>
      <c r="E209" s="24"/>
      <c r="F209" s="24"/>
      <c r="G209" s="24"/>
      <c r="H209" s="24"/>
    </row>
    <row r="210" spans="1:8" ht="11.25">
      <c r="A210" s="24"/>
      <c r="B210" s="24"/>
      <c r="C210" s="24"/>
      <c r="D210" s="24"/>
      <c r="E210" s="24"/>
      <c r="F210" s="24"/>
      <c r="G210" s="24"/>
      <c r="H210" s="24"/>
    </row>
    <row r="211" spans="1:8" ht="11.25">
      <c r="A211" s="24"/>
      <c r="B211" s="24"/>
      <c r="C211" s="24"/>
      <c r="D211" s="24"/>
      <c r="E211" s="24"/>
      <c r="F211" s="24"/>
      <c r="G211" s="24"/>
      <c r="H211" s="24"/>
    </row>
    <row r="212" spans="1:8" ht="11.25">
      <c r="A212" s="24"/>
      <c r="B212" s="24"/>
      <c r="C212" s="24"/>
      <c r="D212" s="24"/>
      <c r="E212" s="24"/>
      <c r="F212" s="24"/>
      <c r="G212" s="24"/>
      <c r="H212" s="24"/>
    </row>
    <row r="213" spans="1:8" ht="11.25">
      <c r="A213" s="24"/>
      <c r="B213" s="24"/>
      <c r="C213" s="24"/>
      <c r="D213" s="24"/>
      <c r="E213" s="24"/>
      <c r="F213" s="24"/>
      <c r="G213" s="24"/>
      <c r="H213" s="24"/>
    </row>
    <row r="214" spans="1:8" ht="11.25">
      <c r="A214" s="24"/>
      <c r="B214" s="24"/>
      <c r="C214" s="24"/>
      <c r="D214" s="24"/>
      <c r="E214" s="24"/>
      <c r="F214" s="24"/>
      <c r="G214" s="24"/>
      <c r="H214" s="24"/>
    </row>
    <row r="215" spans="1:8" ht="11.25">
      <c r="A215" s="24"/>
      <c r="B215" s="24"/>
      <c r="C215" s="24"/>
      <c r="D215" s="24"/>
      <c r="E215" s="24"/>
      <c r="F215" s="24"/>
      <c r="G215" s="24"/>
      <c r="H215" s="24"/>
    </row>
    <row r="216" spans="1:8" ht="11.25">
      <c r="A216" s="24"/>
      <c r="B216" s="24"/>
      <c r="C216" s="24"/>
      <c r="D216" s="24"/>
      <c r="E216" s="24"/>
      <c r="F216" s="24"/>
      <c r="G216" s="24"/>
      <c r="H216" s="24"/>
    </row>
    <row r="217" spans="1:8" ht="11.25">
      <c r="A217" s="24"/>
      <c r="B217" s="24"/>
      <c r="C217" s="24"/>
      <c r="D217" s="24"/>
      <c r="E217" s="24"/>
      <c r="F217" s="24"/>
      <c r="G217" s="24"/>
      <c r="H217" s="24"/>
    </row>
    <row r="218" spans="1:8" ht="11.25">
      <c r="A218" s="24"/>
      <c r="B218" s="24"/>
      <c r="C218" s="24"/>
      <c r="D218" s="24"/>
      <c r="E218" s="24"/>
      <c r="F218" s="24"/>
      <c r="G218" s="24"/>
      <c r="H218" s="24"/>
    </row>
    <row r="219" spans="1:8" ht="11.25">
      <c r="A219" s="24"/>
      <c r="B219" s="24"/>
      <c r="C219" s="24"/>
      <c r="D219" s="24"/>
      <c r="E219" s="24"/>
      <c r="F219" s="24"/>
      <c r="G219" s="24"/>
      <c r="H219" s="24"/>
    </row>
    <row r="220" spans="1:8" ht="11.25">
      <c r="A220" s="24"/>
      <c r="B220" s="24"/>
      <c r="C220" s="24"/>
      <c r="D220" s="24"/>
      <c r="E220" s="24"/>
      <c r="F220" s="24"/>
      <c r="G220" s="24"/>
      <c r="H220" s="24"/>
    </row>
    <row r="221" spans="1:8" ht="11.25">
      <c r="A221" s="24"/>
      <c r="B221" s="24"/>
      <c r="C221" s="24"/>
      <c r="D221" s="24"/>
      <c r="E221" s="24"/>
      <c r="F221" s="24"/>
      <c r="G221" s="24"/>
      <c r="H221" s="24"/>
    </row>
    <row r="222" spans="1:8" ht="11.25">
      <c r="A222" s="24"/>
      <c r="B222" s="24"/>
      <c r="C222" s="24"/>
      <c r="D222" s="24"/>
      <c r="E222" s="24"/>
      <c r="F222" s="24"/>
      <c r="G222" s="24"/>
      <c r="H222" s="24"/>
    </row>
    <row r="223" spans="1:8" ht="11.25">
      <c r="A223" s="24"/>
      <c r="B223" s="24"/>
      <c r="C223" s="24"/>
      <c r="D223" s="24"/>
      <c r="E223" s="24"/>
      <c r="F223" s="24"/>
      <c r="G223" s="24"/>
      <c r="H223" s="24"/>
    </row>
    <row r="224" spans="1:8" ht="11.25">
      <c r="A224" s="24"/>
      <c r="B224" s="24"/>
      <c r="C224" s="24"/>
      <c r="D224" s="24"/>
      <c r="E224" s="24"/>
      <c r="F224" s="24"/>
      <c r="G224" s="24"/>
      <c r="H224" s="24"/>
    </row>
    <row r="225" spans="1:8" ht="11.25">
      <c r="A225" s="24"/>
      <c r="B225" s="24"/>
      <c r="C225" s="24"/>
      <c r="D225" s="24"/>
      <c r="E225" s="24"/>
      <c r="F225" s="24"/>
      <c r="G225" s="24"/>
      <c r="H225" s="24"/>
    </row>
    <row r="226" spans="1:8" ht="11.25">
      <c r="A226" s="24"/>
      <c r="B226" s="24"/>
      <c r="C226" s="24"/>
      <c r="D226" s="24"/>
      <c r="E226" s="24"/>
      <c r="F226" s="24"/>
      <c r="G226" s="24"/>
      <c r="H226" s="24"/>
    </row>
    <row r="227" spans="1:8" ht="11.25">
      <c r="A227" s="24"/>
      <c r="B227" s="24"/>
      <c r="C227" s="24"/>
      <c r="D227" s="24"/>
      <c r="E227" s="24"/>
      <c r="F227" s="24"/>
      <c r="G227" s="24"/>
      <c r="H227" s="24"/>
    </row>
    <row r="228" spans="1:8" ht="11.25">
      <c r="A228" s="24"/>
      <c r="B228" s="24"/>
      <c r="C228" s="24"/>
      <c r="D228" s="24"/>
      <c r="E228" s="24"/>
      <c r="F228" s="24"/>
      <c r="G228" s="24"/>
      <c r="H228" s="24"/>
    </row>
    <row r="229" spans="1:8" ht="11.25">
      <c r="A229" s="24"/>
      <c r="B229" s="24"/>
      <c r="C229" s="24"/>
      <c r="D229" s="24"/>
      <c r="E229" s="24"/>
      <c r="F229" s="24"/>
      <c r="G229" s="24"/>
      <c r="H229" s="24"/>
    </row>
    <row r="230" spans="1:8" ht="11.25">
      <c r="A230" s="24"/>
      <c r="B230" s="24"/>
      <c r="C230" s="24"/>
      <c r="D230" s="24"/>
      <c r="E230" s="24"/>
      <c r="F230" s="24"/>
      <c r="G230" s="24"/>
      <c r="H230" s="24"/>
    </row>
    <row r="231" spans="1:8" ht="11.25">
      <c r="A231" s="24"/>
      <c r="B231" s="24"/>
      <c r="C231" s="24"/>
      <c r="D231" s="24"/>
      <c r="E231" s="24"/>
      <c r="F231" s="24"/>
      <c r="G231" s="24"/>
      <c r="H231" s="24"/>
    </row>
    <row r="232" spans="1:8" ht="11.25">
      <c r="A232" s="24"/>
      <c r="B232" s="24"/>
      <c r="C232" s="24"/>
      <c r="D232" s="24"/>
      <c r="E232" s="24"/>
      <c r="F232" s="24"/>
      <c r="G232" s="24"/>
      <c r="H232" s="24"/>
    </row>
    <row r="233" spans="1:8" ht="11.25">
      <c r="A233" s="24"/>
      <c r="B233" s="24"/>
      <c r="C233" s="24"/>
      <c r="D233" s="24"/>
      <c r="E233" s="24"/>
      <c r="F233" s="24"/>
      <c r="G233" s="24"/>
      <c r="H233" s="24"/>
    </row>
    <row r="234" spans="1:8" ht="11.25">
      <c r="A234" s="24"/>
      <c r="B234" s="24"/>
      <c r="C234" s="24"/>
      <c r="D234" s="24"/>
      <c r="E234" s="24"/>
      <c r="F234" s="24"/>
      <c r="G234" s="24"/>
      <c r="H234" s="24"/>
    </row>
    <row r="235" spans="1:8" ht="11.25">
      <c r="A235" s="24"/>
      <c r="B235" s="24"/>
      <c r="C235" s="24"/>
      <c r="D235" s="24"/>
      <c r="E235" s="24"/>
      <c r="F235" s="24"/>
      <c r="G235" s="24"/>
      <c r="H235" s="24"/>
    </row>
    <row r="236" spans="1:8" ht="11.25">
      <c r="A236" s="24"/>
      <c r="B236" s="24"/>
      <c r="C236" s="24"/>
      <c r="D236" s="24"/>
      <c r="E236" s="24"/>
      <c r="F236" s="24"/>
      <c r="G236" s="24"/>
      <c r="H236" s="24"/>
    </row>
    <row r="237" spans="1:8" ht="11.25">
      <c r="A237" s="24"/>
      <c r="B237" s="24"/>
      <c r="C237" s="24"/>
      <c r="D237" s="24"/>
      <c r="E237" s="24"/>
      <c r="F237" s="24"/>
      <c r="G237" s="24"/>
      <c r="H237" s="24"/>
    </row>
    <row r="238" spans="1:8" ht="11.25">
      <c r="A238" s="24"/>
      <c r="B238" s="24"/>
      <c r="C238" s="24"/>
      <c r="D238" s="24"/>
      <c r="E238" s="24"/>
      <c r="F238" s="24"/>
      <c r="G238" s="24"/>
      <c r="H238" s="24"/>
    </row>
    <row r="239" spans="1:8" ht="11.25">
      <c r="A239" s="24"/>
      <c r="B239" s="24"/>
      <c r="C239" s="24"/>
      <c r="D239" s="24"/>
      <c r="E239" s="24"/>
      <c r="F239" s="24"/>
      <c r="G239" s="24"/>
      <c r="H239" s="24"/>
    </row>
    <row r="240" spans="1:8" ht="11.25">
      <c r="A240" s="24"/>
      <c r="B240" s="24"/>
      <c r="C240" s="24"/>
      <c r="D240" s="24"/>
      <c r="E240" s="24"/>
      <c r="F240" s="24"/>
      <c r="G240" s="24"/>
      <c r="H240" s="24"/>
    </row>
    <row r="241" spans="1:8" ht="11.25">
      <c r="A241" s="24"/>
      <c r="B241" s="24"/>
      <c r="C241" s="24"/>
      <c r="D241" s="24"/>
      <c r="E241" s="24"/>
      <c r="F241" s="24"/>
      <c r="G241" s="24"/>
      <c r="H241" s="24"/>
    </row>
    <row r="242" spans="1:8" ht="11.25">
      <c r="A242" s="24"/>
      <c r="B242" s="24"/>
      <c r="C242" s="24"/>
      <c r="D242" s="24"/>
      <c r="E242" s="24"/>
      <c r="F242" s="24"/>
      <c r="G242" s="24"/>
      <c r="H242" s="24"/>
    </row>
    <row r="243" spans="1:8" ht="11.25">
      <c r="A243" s="24"/>
      <c r="B243" s="24"/>
      <c r="C243" s="24"/>
      <c r="D243" s="24"/>
      <c r="E243" s="24"/>
      <c r="F243" s="24"/>
      <c r="G243" s="24"/>
      <c r="H243" s="24"/>
    </row>
    <row r="244" spans="1:8" ht="11.25">
      <c r="A244" s="24"/>
      <c r="B244" s="24"/>
      <c r="C244" s="24"/>
      <c r="D244" s="24"/>
      <c r="E244" s="24"/>
      <c r="F244" s="24"/>
      <c r="G244" s="24"/>
      <c r="H244" s="24"/>
    </row>
    <row r="245" spans="1:8" ht="11.25">
      <c r="A245" s="24"/>
      <c r="B245" s="24"/>
      <c r="C245" s="24"/>
      <c r="D245" s="24"/>
      <c r="E245" s="24"/>
      <c r="F245" s="24"/>
      <c r="G245" s="24"/>
      <c r="H245" s="24"/>
    </row>
    <row r="246" spans="1:8" ht="11.25">
      <c r="A246" s="24"/>
      <c r="B246" s="24"/>
      <c r="C246" s="24"/>
      <c r="D246" s="24"/>
      <c r="E246" s="24"/>
      <c r="F246" s="24"/>
      <c r="G246" s="24"/>
      <c r="H246" s="24"/>
    </row>
    <row r="247" spans="1:8" ht="11.25">
      <c r="A247" s="24"/>
      <c r="B247" s="24"/>
      <c r="C247" s="24"/>
      <c r="D247" s="24"/>
      <c r="E247" s="24"/>
      <c r="F247" s="24"/>
      <c r="G247" s="24"/>
      <c r="H247" s="24"/>
    </row>
    <row r="248" spans="1:8" ht="11.25">
      <c r="A248" s="24"/>
      <c r="B248" s="24"/>
      <c r="C248" s="24"/>
      <c r="D248" s="24"/>
      <c r="E248" s="24"/>
      <c r="F248" s="24"/>
      <c r="G248" s="24"/>
      <c r="H248" s="24"/>
    </row>
    <row r="249" spans="1:8" ht="11.25">
      <c r="A249" s="24"/>
      <c r="B249" s="24"/>
      <c r="C249" s="24"/>
      <c r="D249" s="24"/>
      <c r="E249" s="24"/>
      <c r="F249" s="24"/>
      <c r="G249" s="24"/>
      <c r="H249" s="24"/>
    </row>
    <row r="250" spans="1:8" ht="11.25">
      <c r="A250" s="24"/>
      <c r="B250" s="24"/>
      <c r="C250" s="24"/>
      <c r="D250" s="24"/>
      <c r="E250" s="24"/>
      <c r="F250" s="24"/>
      <c r="G250" s="24"/>
      <c r="H250" s="24"/>
    </row>
    <row r="251" spans="1:8" ht="11.25">
      <c r="A251" s="24"/>
      <c r="B251" s="24"/>
      <c r="C251" s="24"/>
      <c r="D251" s="24"/>
      <c r="E251" s="24"/>
      <c r="F251" s="24"/>
      <c r="G251" s="24"/>
      <c r="H251" s="24"/>
    </row>
    <row r="252" spans="1:8" ht="11.25">
      <c r="A252" s="24"/>
      <c r="B252" s="24"/>
      <c r="C252" s="24"/>
      <c r="D252" s="24"/>
      <c r="E252" s="24"/>
      <c r="F252" s="24"/>
      <c r="G252" s="24"/>
      <c r="H252" s="24"/>
    </row>
    <row r="253" spans="1:8" ht="11.25">
      <c r="A253" s="24"/>
      <c r="B253" s="24"/>
      <c r="C253" s="24"/>
      <c r="D253" s="24"/>
      <c r="E253" s="24"/>
      <c r="F253" s="24"/>
      <c r="G253" s="24"/>
      <c r="H253" s="24"/>
    </row>
    <row r="254" spans="1:8" ht="11.25">
      <c r="A254" s="24"/>
      <c r="B254" s="24"/>
      <c r="C254" s="24"/>
      <c r="D254" s="24"/>
      <c r="E254" s="24"/>
      <c r="F254" s="24"/>
      <c r="G254" s="24"/>
      <c r="H254" s="24"/>
    </row>
    <row r="255" spans="1:8" ht="11.25">
      <c r="A255" s="24"/>
      <c r="B255" s="24"/>
      <c r="C255" s="24"/>
      <c r="D255" s="24"/>
      <c r="E255" s="24"/>
      <c r="F255" s="24"/>
      <c r="G255" s="24"/>
      <c r="H255" s="24"/>
    </row>
    <row r="256" spans="1:8" ht="11.25">
      <c r="A256" s="24"/>
      <c r="B256" s="24"/>
      <c r="C256" s="24"/>
      <c r="D256" s="24"/>
      <c r="E256" s="24"/>
      <c r="F256" s="24"/>
      <c r="G256" s="24"/>
      <c r="H256" s="24"/>
    </row>
    <row r="257" spans="1:8" ht="11.25">
      <c r="A257" s="24"/>
      <c r="B257" s="24"/>
      <c r="C257" s="24"/>
      <c r="D257" s="24"/>
      <c r="E257" s="24"/>
      <c r="F257" s="24"/>
      <c r="G257" s="24"/>
      <c r="H257" s="24"/>
    </row>
    <row r="258" spans="1:8" ht="11.25">
      <c r="A258" s="24"/>
      <c r="B258" s="24"/>
      <c r="C258" s="24"/>
      <c r="D258" s="24"/>
      <c r="E258" s="24"/>
      <c r="F258" s="24"/>
      <c r="G258" s="24"/>
      <c r="H258" s="24"/>
    </row>
    <row r="259" spans="1:8" ht="11.25">
      <c r="A259" s="24"/>
      <c r="B259" s="24"/>
      <c r="C259" s="24"/>
      <c r="D259" s="24"/>
      <c r="E259" s="24"/>
      <c r="F259" s="24"/>
      <c r="G259" s="24"/>
      <c r="H259" s="24"/>
    </row>
    <row r="260" spans="1:8" ht="11.25">
      <c r="A260" s="24"/>
      <c r="B260" s="24"/>
      <c r="C260" s="24"/>
      <c r="D260" s="24"/>
      <c r="E260" s="24"/>
      <c r="F260" s="24"/>
      <c r="G260" s="24"/>
      <c r="H260" s="24"/>
    </row>
    <row r="261" spans="1:8" ht="11.25">
      <c r="A261" s="24"/>
      <c r="B261" s="24"/>
      <c r="C261" s="24"/>
      <c r="D261" s="24"/>
      <c r="E261" s="24"/>
      <c r="F261" s="24"/>
      <c r="G261" s="24"/>
      <c r="H261" s="24"/>
    </row>
    <row r="262" spans="1:8" ht="11.25">
      <c r="A262" s="24"/>
      <c r="B262" s="24"/>
      <c r="C262" s="24"/>
      <c r="D262" s="24"/>
      <c r="E262" s="24"/>
      <c r="F262" s="24"/>
      <c r="G262" s="24"/>
      <c r="H262" s="24"/>
    </row>
    <row r="263" spans="1:8" ht="11.25">
      <c r="A263" s="24"/>
      <c r="B263" s="24"/>
      <c r="C263" s="24"/>
      <c r="D263" s="24"/>
      <c r="E263" s="24"/>
      <c r="F263" s="24"/>
      <c r="G263" s="24"/>
      <c r="H263" s="24"/>
    </row>
    <row r="264" spans="1:8" ht="11.25">
      <c r="A264" s="24"/>
      <c r="B264" s="24"/>
      <c r="C264" s="24"/>
      <c r="D264" s="24"/>
      <c r="E264" s="24"/>
      <c r="F264" s="24"/>
      <c r="G264" s="24"/>
      <c r="H264" s="24"/>
    </row>
    <row r="265" spans="1:8" ht="11.25">
      <c r="A265" s="24"/>
      <c r="B265" s="24"/>
      <c r="C265" s="24"/>
      <c r="D265" s="24"/>
      <c r="E265" s="24"/>
      <c r="F265" s="24"/>
      <c r="G265" s="24"/>
      <c r="H265" s="24"/>
    </row>
    <row r="266" spans="1:8" ht="11.25">
      <c r="A266" s="24"/>
      <c r="B266" s="24"/>
      <c r="C266" s="24"/>
      <c r="D266" s="24"/>
      <c r="E266" s="24"/>
      <c r="F266" s="24"/>
      <c r="G266" s="24"/>
      <c r="H266" s="24"/>
    </row>
    <row r="267" spans="1:8" ht="11.25">
      <c r="A267" s="24"/>
      <c r="B267" s="24"/>
      <c r="C267" s="24"/>
      <c r="D267" s="24"/>
      <c r="E267" s="24"/>
      <c r="F267" s="24"/>
      <c r="G267" s="24"/>
      <c r="H267" s="24"/>
    </row>
    <row r="268" spans="1:8" ht="11.25">
      <c r="A268" s="24"/>
      <c r="B268" s="24"/>
      <c r="C268" s="24"/>
      <c r="D268" s="24"/>
      <c r="E268" s="24"/>
      <c r="F268" s="24"/>
      <c r="G268" s="24"/>
      <c r="H268" s="24"/>
    </row>
    <row r="269" spans="1:8" ht="11.25">
      <c r="A269" s="24"/>
      <c r="B269" s="24"/>
      <c r="C269" s="24"/>
      <c r="D269" s="24"/>
      <c r="E269" s="24"/>
      <c r="F269" s="24"/>
      <c r="G269" s="24"/>
      <c r="H269" s="24"/>
    </row>
    <row r="270" spans="1:8" ht="11.25">
      <c r="A270" s="24"/>
      <c r="B270" s="24"/>
      <c r="C270" s="24"/>
      <c r="D270" s="24"/>
      <c r="E270" s="24"/>
      <c r="F270" s="24"/>
      <c r="G270" s="24"/>
      <c r="H270" s="24"/>
    </row>
    <row r="271" spans="1:8" ht="11.25">
      <c r="A271" s="24"/>
      <c r="B271" s="24"/>
      <c r="C271" s="24"/>
      <c r="D271" s="24"/>
      <c r="E271" s="24"/>
      <c r="F271" s="24"/>
      <c r="G271" s="24"/>
      <c r="H271" s="24"/>
    </row>
    <row r="272" spans="1:8" ht="11.25">
      <c r="A272" s="24"/>
      <c r="B272" s="24"/>
      <c r="C272" s="24"/>
      <c r="D272" s="24"/>
      <c r="E272" s="24"/>
      <c r="F272" s="24"/>
      <c r="G272" s="24"/>
      <c r="H272" s="24"/>
    </row>
    <row r="273" spans="1:8" ht="11.25">
      <c r="A273" s="24"/>
      <c r="B273" s="24"/>
      <c r="C273" s="24"/>
      <c r="D273" s="24"/>
      <c r="E273" s="24"/>
      <c r="F273" s="24"/>
      <c r="G273" s="24"/>
      <c r="H273" s="24"/>
    </row>
    <row r="274" spans="1:8" ht="11.25">
      <c r="A274" s="24"/>
      <c r="B274" s="24"/>
      <c r="C274" s="24"/>
      <c r="D274" s="24"/>
      <c r="E274" s="24"/>
      <c r="F274" s="24"/>
      <c r="G274" s="24"/>
      <c r="H274" s="24"/>
    </row>
    <row r="275" spans="1:8" ht="11.25">
      <c r="A275" s="24"/>
      <c r="B275" s="24"/>
      <c r="C275" s="24"/>
      <c r="D275" s="24"/>
      <c r="E275" s="24"/>
      <c r="F275" s="24"/>
      <c r="G275" s="24"/>
      <c r="H275" s="24"/>
    </row>
    <row r="276" spans="1:8" ht="11.25">
      <c r="A276" s="24"/>
      <c r="B276" s="24"/>
      <c r="C276" s="24"/>
      <c r="D276" s="24"/>
      <c r="E276" s="24"/>
      <c r="F276" s="24"/>
      <c r="G276" s="24"/>
      <c r="H276" s="24"/>
    </row>
    <row r="277" spans="1:8" ht="11.25">
      <c r="A277" s="24"/>
      <c r="B277" s="24"/>
      <c r="C277" s="24"/>
      <c r="D277" s="24"/>
      <c r="E277" s="24"/>
      <c r="F277" s="24"/>
      <c r="G277" s="24"/>
      <c r="H277" s="24"/>
    </row>
    <row r="278" spans="1:8" ht="11.25">
      <c r="A278" s="24"/>
      <c r="B278" s="24"/>
      <c r="C278" s="24"/>
      <c r="D278" s="24"/>
      <c r="E278" s="24"/>
      <c r="F278" s="24"/>
      <c r="G278" s="24"/>
      <c r="H278" s="24"/>
    </row>
    <row r="279" spans="1:8" ht="11.25">
      <c r="A279" s="24"/>
      <c r="B279" s="24"/>
      <c r="C279" s="24"/>
      <c r="D279" s="24"/>
      <c r="E279" s="24"/>
      <c r="F279" s="24"/>
      <c r="G279" s="24"/>
      <c r="H279" s="24"/>
    </row>
    <row r="280" spans="1:8" ht="11.25">
      <c r="A280" s="24"/>
      <c r="B280" s="24"/>
      <c r="C280" s="24"/>
      <c r="D280" s="24"/>
      <c r="E280" s="24"/>
      <c r="F280" s="24"/>
      <c r="G280" s="24"/>
      <c r="H280" s="24"/>
    </row>
    <row r="281" spans="1:8" ht="11.25">
      <c r="A281" s="24"/>
      <c r="B281" s="24"/>
      <c r="C281" s="24"/>
      <c r="D281" s="24"/>
      <c r="E281" s="24"/>
      <c r="F281" s="24"/>
      <c r="G281" s="24"/>
      <c r="H281" s="24"/>
    </row>
    <row r="282" spans="1:8" ht="11.25">
      <c r="A282" s="24"/>
      <c r="B282" s="24"/>
      <c r="C282" s="24"/>
      <c r="D282" s="24"/>
      <c r="E282" s="24"/>
      <c r="F282" s="24"/>
      <c r="G282" s="24"/>
      <c r="H282" s="24"/>
    </row>
    <row r="283" spans="1:8" ht="11.25">
      <c r="A283" s="24"/>
      <c r="B283" s="24"/>
      <c r="C283" s="24"/>
      <c r="D283" s="24"/>
      <c r="E283" s="24"/>
      <c r="F283" s="24"/>
      <c r="G283" s="24"/>
      <c r="H283" s="24"/>
    </row>
    <row r="284" spans="1:8" ht="11.25">
      <c r="A284" s="24"/>
      <c r="B284" s="24"/>
      <c r="C284" s="24"/>
      <c r="D284" s="24"/>
      <c r="E284" s="24"/>
      <c r="F284" s="24"/>
      <c r="G284" s="24"/>
      <c r="H284" s="24"/>
    </row>
  </sheetData>
  <sheetProtection/>
  <mergeCells count="31">
    <mergeCell ref="B89:B90"/>
    <mergeCell ref="C89:D89"/>
    <mergeCell ref="E89:F89"/>
    <mergeCell ref="G89:I89"/>
    <mergeCell ref="B58:B59"/>
    <mergeCell ref="C58:D58"/>
    <mergeCell ref="E58:F58"/>
    <mergeCell ref="G58:I58"/>
    <mergeCell ref="B74:B75"/>
    <mergeCell ref="C74:D74"/>
    <mergeCell ref="E74:F74"/>
    <mergeCell ref="G74:I74"/>
    <mergeCell ref="B33:B35"/>
    <mergeCell ref="C33:D33"/>
    <mergeCell ref="E33:F34"/>
    <mergeCell ref="G33:I34"/>
    <mergeCell ref="C34:D34"/>
    <mergeCell ref="B48:B49"/>
    <mergeCell ref="C48:D48"/>
    <mergeCell ref="E48:F48"/>
    <mergeCell ref="G48:I48"/>
    <mergeCell ref="B4:B6"/>
    <mergeCell ref="C4:D4"/>
    <mergeCell ref="E4:F5"/>
    <mergeCell ref="G4:I5"/>
    <mergeCell ref="C5:D5"/>
    <mergeCell ref="B19:B21"/>
    <mergeCell ref="C19:D19"/>
    <mergeCell ref="E19:F20"/>
    <mergeCell ref="G19:I20"/>
    <mergeCell ref="C20:D20"/>
  </mergeCells>
  <printOptions/>
  <pageMargins left="0.7874015748031497" right="0.7874015748031497" top="0.984251968503937" bottom="0.984251968503937" header="0.5118110236220472" footer="0.5118110236220472"/>
  <pageSetup horizontalDpi="600" verticalDpi="600" orientation="landscape" paperSize="9" scale="96" r:id="rId1"/>
  <rowBreaks count="5" manualBreakCount="5">
    <brk id="16" max="255" man="1"/>
    <brk id="45" max="8" man="1"/>
    <brk id="55" max="255" man="1"/>
    <brk id="71" max="255" man="1"/>
    <brk id="86" max="255" man="1"/>
  </rowBreaks>
</worksheet>
</file>

<file path=xl/worksheets/sheet7.xml><?xml version="1.0" encoding="utf-8"?>
<worksheet xmlns="http://schemas.openxmlformats.org/spreadsheetml/2006/main" xmlns:r="http://schemas.openxmlformats.org/officeDocument/2006/relationships">
  <dimension ref="A2:M343"/>
  <sheetViews>
    <sheetView zoomScalePageLayoutView="0" workbookViewId="0" topLeftCell="A71">
      <selection activeCell="D64" sqref="D64"/>
    </sheetView>
  </sheetViews>
  <sheetFormatPr defaultColWidth="9.00390625" defaultRowHeight="12.75"/>
  <cols>
    <col min="1" max="1" width="4.125" style="1" customWidth="1"/>
    <col min="2" max="2" width="23.25390625" style="1" customWidth="1"/>
    <col min="3" max="3" width="10.375" style="1" customWidth="1"/>
    <col min="4" max="4" width="10.25390625" style="1" customWidth="1"/>
    <col min="5" max="5" width="10.875" style="1" customWidth="1"/>
    <col min="6" max="6" width="10.75390625" style="1" customWidth="1"/>
    <col min="7" max="7" width="13.00390625" style="1" customWidth="1"/>
    <col min="8" max="8" width="12.25390625" style="1" customWidth="1"/>
    <col min="9" max="9" width="15.75390625" style="1" customWidth="1"/>
    <col min="10" max="16384" width="9.125" style="1" customWidth="1"/>
  </cols>
  <sheetData>
    <row r="2" ht="12.75">
      <c r="B2" s="3" t="s">
        <v>774</v>
      </c>
    </row>
    <row r="4" spans="2:9" ht="36.75" customHeight="1">
      <c r="B4" s="585" t="s">
        <v>318</v>
      </c>
      <c r="C4" s="588" t="s">
        <v>354</v>
      </c>
      <c r="D4" s="589"/>
      <c r="E4" s="588" t="s">
        <v>320</v>
      </c>
      <c r="F4" s="589"/>
      <c r="G4" s="588" t="s">
        <v>321</v>
      </c>
      <c r="H4" s="592"/>
      <c r="I4" s="589"/>
    </row>
    <row r="5" spans="2:9" ht="15.75" customHeight="1" hidden="1">
      <c r="B5" s="586"/>
      <c r="C5" s="590" t="s">
        <v>319</v>
      </c>
      <c r="D5" s="591"/>
      <c r="E5" s="590"/>
      <c r="F5" s="591"/>
      <c r="G5" s="590"/>
      <c r="H5" s="593"/>
      <c r="I5" s="591"/>
    </row>
    <row r="6" spans="2:9" ht="46.5" customHeight="1">
      <c r="B6" s="587"/>
      <c r="C6" s="4" t="s">
        <v>352</v>
      </c>
      <c r="D6" s="5" t="s">
        <v>353</v>
      </c>
      <c r="E6" s="5" t="s">
        <v>352</v>
      </c>
      <c r="F6" s="5" t="s">
        <v>353</v>
      </c>
      <c r="G6" s="5" t="s">
        <v>324</v>
      </c>
      <c r="H6" s="5" t="s">
        <v>325</v>
      </c>
      <c r="I6" s="5" t="s">
        <v>326</v>
      </c>
    </row>
    <row r="7" spans="2:9" ht="16.5" customHeight="1">
      <c r="B7" s="2" t="s">
        <v>327</v>
      </c>
      <c r="C7" s="55">
        <f>Данные!D6</f>
        <v>0</v>
      </c>
      <c r="D7" s="55">
        <f>Данные!E6</f>
        <v>0</v>
      </c>
      <c r="E7" s="55">
        <f>C7/C14*100</f>
        <v>0</v>
      </c>
      <c r="F7" s="55">
        <f>D7/D14*100</f>
        <v>0</v>
      </c>
      <c r="G7" s="55">
        <f>D7-C7</f>
        <v>0</v>
      </c>
      <c r="H7" s="55">
        <f>F7-E7</f>
        <v>0</v>
      </c>
      <c r="I7" s="55">
        <f>G7/G14*100</f>
        <v>0</v>
      </c>
    </row>
    <row r="8" spans="2:9" ht="11.25">
      <c r="B8" s="2" t="s">
        <v>328</v>
      </c>
      <c r="C8" s="55">
        <f>Данные!D7</f>
        <v>77374</v>
      </c>
      <c r="D8" s="55">
        <f>Данные!E7</f>
        <v>45089</v>
      </c>
      <c r="E8" s="55">
        <f>C8/C14*100</f>
        <v>98.85271872444807</v>
      </c>
      <c r="F8" s="55">
        <f>D8/D14*100</f>
        <v>87.08474969097651</v>
      </c>
      <c r="G8" s="55">
        <f aca="true" t="shared" si="0" ref="G8:G13">D8-C8</f>
        <v>-32285</v>
      </c>
      <c r="H8" s="55">
        <f aca="true" t="shared" si="1" ref="H8:H13">F8-E8</f>
        <v>-11.767969033471559</v>
      </c>
      <c r="I8" s="55">
        <f>G8/G14*100</f>
        <v>121.8485809178744</v>
      </c>
    </row>
    <row r="9" spans="2:9" ht="22.5">
      <c r="B9" s="2" t="s">
        <v>329</v>
      </c>
      <c r="C9" s="55">
        <f>Данные!D8</f>
        <v>896</v>
      </c>
      <c r="D9" s="55">
        <f>Данные!E8</f>
        <v>6685</v>
      </c>
      <c r="E9" s="55">
        <f>C9/C14*100</f>
        <v>1.1447260834014716</v>
      </c>
      <c r="F9" s="55">
        <f>D9/D14*100</f>
        <v>12.911387515451175</v>
      </c>
      <c r="G9" s="55">
        <f t="shared" si="0"/>
        <v>5789</v>
      </c>
      <c r="H9" s="55">
        <f t="shared" si="1"/>
        <v>11.766661432049704</v>
      </c>
      <c r="I9" s="55">
        <f>G9/G14*100</f>
        <v>-21.848580917874397</v>
      </c>
    </row>
    <row r="10" spans="2:9" ht="22.5">
      <c r="B10" s="2" t="s">
        <v>330</v>
      </c>
      <c r="C10" s="55">
        <f>Данные!D9</f>
        <v>0</v>
      </c>
      <c r="D10" s="55">
        <f>Данные!E9</f>
        <v>0</v>
      </c>
      <c r="E10" s="55">
        <f>C10/C14*100</f>
        <v>0</v>
      </c>
      <c r="F10" s="55">
        <f>D10/D14*100</f>
        <v>0</v>
      </c>
      <c r="G10" s="55">
        <f t="shared" si="0"/>
        <v>0</v>
      </c>
      <c r="H10" s="55">
        <f t="shared" si="1"/>
        <v>0</v>
      </c>
      <c r="I10" s="55">
        <f>G10/G14*100</f>
        <v>0</v>
      </c>
    </row>
    <row r="11" spans="2:9" ht="22.5">
      <c r="B11" s="2" t="s">
        <v>331</v>
      </c>
      <c r="C11" s="55">
        <f>Данные!D10</f>
        <v>2</v>
      </c>
      <c r="D11" s="55">
        <f>Данные!E10</f>
        <v>2</v>
      </c>
      <c r="E11" s="55">
        <f>C11/C14*100</f>
        <v>0.002555192150449714</v>
      </c>
      <c r="F11" s="55">
        <f>D11/D14*100</f>
        <v>0.0038627935723114953</v>
      </c>
      <c r="G11" s="55">
        <f t="shared" si="0"/>
        <v>0</v>
      </c>
      <c r="H11" s="55">
        <f t="shared" si="1"/>
        <v>0.0013076014218617814</v>
      </c>
      <c r="I11" s="55">
        <f>G11/G14*100</f>
        <v>0</v>
      </c>
    </row>
    <row r="12" spans="2:9" ht="22.5">
      <c r="B12" s="2" t="s">
        <v>332</v>
      </c>
      <c r="C12" s="55">
        <f>Данные!D24</f>
        <v>0</v>
      </c>
      <c r="D12" s="55">
        <f>Данные!E24</f>
        <v>0</v>
      </c>
      <c r="E12" s="55">
        <f>C12/C14*100</f>
        <v>0</v>
      </c>
      <c r="F12" s="55">
        <f>D12/D14*100</f>
        <v>0</v>
      </c>
      <c r="G12" s="55">
        <f t="shared" si="0"/>
        <v>0</v>
      </c>
      <c r="H12" s="55">
        <f t="shared" si="1"/>
        <v>0</v>
      </c>
      <c r="I12" s="55">
        <f>G12/G14*100</f>
        <v>0</v>
      </c>
    </row>
    <row r="13" spans="2:9" ht="18" customHeight="1">
      <c r="B13" s="2" t="s">
        <v>333</v>
      </c>
      <c r="C13" s="55">
        <f>Данные!D12</f>
        <v>0</v>
      </c>
      <c r="D13" s="55">
        <f>Данные!E12</f>
        <v>0</v>
      </c>
      <c r="E13" s="55">
        <f>C13/C14*100</f>
        <v>0</v>
      </c>
      <c r="F13" s="55">
        <f>D13/D14*100</f>
        <v>0</v>
      </c>
      <c r="G13" s="55">
        <f t="shared" si="0"/>
        <v>0</v>
      </c>
      <c r="H13" s="55">
        <f t="shared" si="1"/>
        <v>0</v>
      </c>
      <c r="I13" s="55">
        <f>G13/G14*100</f>
        <v>0</v>
      </c>
    </row>
    <row r="14" spans="2:9" ht="13.5" customHeight="1">
      <c r="B14" s="8" t="s">
        <v>334</v>
      </c>
      <c r="C14" s="59">
        <f>SUM(C7:C13)</f>
        <v>78272</v>
      </c>
      <c r="D14" s="59">
        <f>SUM(D7:D13)</f>
        <v>51776</v>
      </c>
      <c r="E14" s="59">
        <f>SUM(E7:E13)</f>
        <v>99.99999999999999</v>
      </c>
      <c r="F14" s="59">
        <f>SUM(F7:F13)</f>
        <v>99.99999999999999</v>
      </c>
      <c r="G14" s="59">
        <f>D14-C14</f>
        <v>-26496</v>
      </c>
      <c r="H14" s="59">
        <f>F14-E14</f>
        <v>0</v>
      </c>
      <c r="I14" s="59">
        <f>SUM(I7:I13)</f>
        <v>100</v>
      </c>
    </row>
    <row r="15" ht="11.25">
      <c r="B15" s="1" t="s">
        <v>355</v>
      </c>
    </row>
    <row r="17" ht="12.75">
      <c r="B17" s="3" t="s">
        <v>775</v>
      </c>
    </row>
    <row r="19" spans="2:9" ht="33" customHeight="1">
      <c r="B19" s="585" t="s">
        <v>318</v>
      </c>
      <c r="C19" s="588" t="s">
        <v>354</v>
      </c>
      <c r="D19" s="589"/>
      <c r="E19" s="588" t="s">
        <v>357</v>
      </c>
      <c r="F19" s="589"/>
      <c r="G19" s="588" t="s">
        <v>321</v>
      </c>
      <c r="H19" s="592"/>
      <c r="I19" s="589"/>
    </row>
    <row r="20" spans="2:9" ht="15.75" customHeight="1" hidden="1">
      <c r="B20" s="586"/>
      <c r="C20" s="590" t="s">
        <v>319</v>
      </c>
      <c r="D20" s="591"/>
      <c r="E20" s="590"/>
      <c r="F20" s="591"/>
      <c r="G20" s="590"/>
      <c r="H20" s="593"/>
      <c r="I20" s="591"/>
    </row>
    <row r="21" spans="2:9" ht="45" customHeight="1">
      <c r="B21" s="587"/>
      <c r="C21" s="4" t="s">
        <v>352</v>
      </c>
      <c r="D21" s="5" t="s">
        <v>353</v>
      </c>
      <c r="E21" s="5" t="s">
        <v>352</v>
      </c>
      <c r="F21" s="5" t="s">
        <v>353</v>
      </c>
      <c r="G21" s="5" t="s">
        <v>324</v>
      </c>
      <c r="H21" s="5" t="s">
        <v>325</v>
      </c>
      <c r="I21" s="5" t="s">
        <v>356</v>
      </c>
    </row>
    <row r="22" spans="2:9" ht="11.25">
      <c r="B22" s="2" t="s">
        <v>92</v>
      </c>
      <c r="C22" s="55">
        <f>Данные!D15</f>
        <v>53651</v>
      </c>
      <c r="D22" s="55">
        <f>Данные!E15</f>
        <v>69439</v>
      </c>
      <c r="E22" s="55">
        <f>C22/C28*100</f>
        <v>78.5945534183965</v>
      </c>
      <c r="F22" s="55">
        <f>D22/D28*100</f>
        <v>77.93640638854282</v>
      </c>
      <c r="G22" s="55">
        <f aca="true" t="shared" si="2" ref="G22:G28">D22-C22</f>
        <v>15788</v>
      </c>
      <c r="H22" s="55">
        <f aca="true" t="shared" si="3" ref="H22:H27">F22-E22</f>
        <v>-0.65814702985368</v>
      </c>
      <c r="I22" s="55">
        <f>G22/G28*100</f>
        <v>75.7799750407987</v>
      </c>
    </row>
    <row r="23" spans="2:9" ht="22.5">
      <c r="B23" s="2" t="s">
        <v>335</v>
      </c>
      <c r="C23" s="55">
        <f>Данные!D23</f>
        <v>2433</v>
      </c>
      <c r="D23" s="55">
        <f>Данные!E23</f>
        <v>2024</v>
      </c>
      <c r="E23" s="55">
        <f>C23/C28*100</f>
        <v>3.564156277925084</v>
      </c>
      <c r="F23" s="55">
        <f>D23/D28*100</f>
        <v>2.271681425861701</v>
      </c>
      <c r="G23" s="55">
        <f t="shared" si="2"/>
        <v>-409</v>
      </c>
      <c r="H23" s="55">
        <f t="shared" si="3"/>
        <v>-1.2924748520633829</v>
      </c>
      <c r="I23" s="55">
        <f>G23/G28*100</f>
        <v>-1.9631371796102526</v>
      </c>
    </row>
    <row r="24" spans="2:9" ht="22.5">
      <c r="B24" s="2" t="s">
        <v>336</v>
      </c>
      <c r="C24" s="55">
        <f>Данные!D30</f>
        <v>11979</v>
      </c>
      <c r="D24" s="55">
        <f>Данные!E30</f>
        <v>9389</v>
      </c>
      <c r="E24" s="55">
        <f>C24/C28*100</f>
        <v>17.54830581720698</v>
      </c>
      <c r="F24" s="55">
        <f>D24/D28*100</f>
        <v>10.537953017497784</v>
      </c>
      <c r="G24" s="55">
        <f t="shared" si="2"/>
        <v>-2590</v>
      </c>
      <c r="H24" s="55">
        <f t="shared" si="3"/>
        <v>-7.010352799709196</v>
      </c>
      <c r="I24" s="55">
        <f>G24/G28*100</f>
        <v>-12.431602188729961</v>
      </c>
    </row>
    <row r="25" spans="2:9" ht="22.5">
      <c r="B25" s="2" t="s">
        <v>337</v>
      </c>
      <c r="C25" s="55">
        <f>Данные!D37</f>
        <v>0</v>
      </c>
      <c r="D25" s="55">
        <f>Данные!E37</f>
        <v>0</v>
      </c>
      <c r="E25" s="55">
        <f>C25/C28*100</f>
        <v>0</v>
      </c>
      <c r="F25" s="55">
        <f>D25/D28*100</f>
        <v>0</v>
      </c>
      <c r="G25" s="55">
        <f t="shared" si="2"/>
        <v>0</v>
      </c>
      <c r="H25" s="55">
        <f t="shared" si="3"/>
        <v>0</v>
      </c>
      <c r="I25" s="55">
        <f>G25/G28*100</f>
        <v>0</v>
      </c>
    </row>
    <row r="26" spans="2:9" ht="11.25">
      <c r="B26" s="2" t="s">
        <v>230</v>
      </c>
      <c r="C26" s="55">
        <f>Данные!D41</f>
        <v>200</v>
      </c>
      <c r="D26" s="55">
        <f>Данные!E41</f>
        <v>8245</v>
      </c>
      <c r="E26" s="55">
        <f>C26/C28*100</f>
        <v>0.2929844864714413</v>
      </c>
      <c r="F26" s="55">
        <f>D26/D28*100</f>
        <v>9.253959168097692</v>
      </c>
      <c r="G26" s="55">
        <f t="shared" si="2"/>
        <v>8045</v>
      </c>
      <c r="H26" s="55">
        <f t="shared" si="3"/>
        <v>8.96097468162625</v>
      </c>
      <c r="I26" s="55">
        <f>G26/G28*100</f>
        <v>38.614764327541515</v>
      </c>
    </row>
    <row r="27" spans="2:9" ht="11.25">
      <c r="B27" s="2" t="s">
        <v>338</v>
      </c>
      <c r="C27" s="55">
        <f>Данные!D46</f>
        <v>0</v>
      </c>
      <c r="D27" s="55">
        <f>Данные!E46</f>
        <v>0</v>
      </c>
      <c r="E27" s="55">
        <f>C27/C28*100</f>
        <v>0</v>
      </c>
      <c r="F27" s="55">
        <f>D27/D28*100</f>
        <v>0</v>
      </c>
      <c r="G27" s="55">
        <f t="shared" si="2"/>
        <v>0</v>
      </c>
      <c r="H27" s="55">
        <f t="shared" si="3"/>
        <v>0</v>
      </c>
      <c r="I27" s="55">
        <f>G27/G28*100</f>
        <v>0</v>
      </c>
    </row>
    <row r="28" spans="2:9" ht="11.25">
      <c r="B28" s="8" t="s">
        <v>339</v>
      </c>
      <c r="C28" s="59">
        <f>SUM(C22:C27)</f>
        <v>68263</v>
      </c>
      <c r="D28" s="59">
        <f>SUM(D22:D27)</f>
        <v>89097</v>
      </c>
      <c r="E28" s="59">
        <f>SUM(E22:E27)</f>
        <v>100</v>
      </c>
      <c r="F28" s="59">
        <f>SUM(F22:F27)</f>
        <v>100</v>
      </c>
      <c r="G28" s="59">
        <f t="shared" si="2"/>
        <v>20834</v>
      </c>
      <c r="H28" s="59">
        <f>SUM(H22:H27)</f>
        <v>-7.105427357601002E-15</v>
      </c>
      <c r="I28" s="59">
        <f>SUM(I22:I27)</f>
        <v>100</v>
      </c>
    </row>
    <row r="31" ht="12.75">
      <c r="B31" s="3" t="s">
        <v>776</v>
      </c>
    </row>
    <row r="33" spans="2:9" ht="27.75" customHeight="1">
      <c r="B33" s="585" t="s">
        <v>318</v>
      </c>
      <c r="C33" s="588" t="s">
        <v>354</v>
      </c>
      <c r="D33" s="589"/>
      <c r="E33" s="588" t="s">
        <v>358</v>
      </c>
      <c r="F33" s="589"/>
      <c r="G33" s="588" t="s">
        <v>321</v>
      </c>
      <c r="H33" s="592"/>
      <c r="I33" s="589"/>
    </row>
    <row r="34" spans="2:9" ht="15.75" customHeight="1" hidden="1">
      <c r="B34" s="586"/>
      <c r="C34" s="590"/>
      <c r="D34" s="591"/>
      <c r="E34" s="590"/>
      <c r="F34" s="591"/>
      <c r="G34" s="590"/>
      <c r="H34" s="593"/>
      <c r="I34" s="591"/>
    </row>
    <row r="35" spans="2:9" ht="33.75">
      <c r="B35" s="587"/>
      <c r="C35" s="4" t="s">
        <v>352</v>
      </c>
      <c r="D35" s="5" t="s">
        <v>353</v>
      </c>
      <c r="E35" s="5" t="s">
        <v>352</v>
      </c>
      <c r="F35" s="5" t="s">
        <v>353</v>
      </c>
      <c r="G35" s="5" t="s">
        <v>324</v>
      </c>
      <c r="H35" s="5" t="s">
        <v>325</v>
      </c>
      <c r="I35" s="5" t="s">
        <v>359</v>
      </c>
    </row>
    <row r="36" spans="2:9" ht="11.25">
      <c r="B36" s="2" t="s">
        <v>340</v>
      </c>
      <c r="C36" s="55">
        <f>Данные!D16</f>
        <v>17237</v>
      </c>
      <c r="D36" s="55">
        <f>Данные!E16</f>
        <v>20107</v>
      </c>
      <c r="E36" s="55">
        <f>C36/C43*100</f>
        <v>32.12801252539561</v>
      </c>
      <c r="F36" s="55">
        <f>D36/D43*100</f>
        <v>28.956350177853945</v>
      </c>
      <c r="G36" s="55">
        <f>D36-C36</f>
        <v>2870</v>
      </c>
      <c r="H36" s="55">
        <f>F36-E36</f>
        <v>-3.171662347541666</v>
      </c>
      <c r="I36" s="55">
        <f>G36/G43*100</f>
        <v>18.178363313909298</v>
      </c>
    </row>
    <row r="37" spans="2:9" ht="22.5">
      <c r="B37" s="2" t="s">
        <v>341</v>
      </c>
      <c r="C37" s="55">
        <f>Данные!D17</f>
        <v>18485</v>
      </c>
      <c r="D37" s="55">
        <f>Данные!E17</f>
        <v>22651</v>
      </c>
      <c r="E37" s="55">
        <f>C37/C43*100</f>
        <v>34.45415742483831</v>
      </c>
      <c r="F37" s="55">
        <f>D37/D43*100</f>
        <v>32.61999740779677</v>
      </c>
      <c r="G37" s="55">
        <f aca="true" t="shared" si="4" ref="G37:G42">D37-C37</f>
        <v>4166</v>
      </c>
      <c r="H37" s="55">
        <f aca="true" t="shared" si="5" ref="H37:H42">F37-E37</f>
        <v>-1.8341600170415404</v>
      </c>
      <c r="I37" s="55">
        <f>G37/G43*100</f>
        <v>26.38712946541677</v>
      </c>
    </row>
    <row r="38" spans="2:9" ht="33.75">
      <c r="B38" s="2" t="s">
        <v>342</v>
      </c>
      <c r="C38" s="55">
        <f>Данные!D18</f>
        <v>2775</v>
      </c>
      <c r="D38" s="55">
        <f>Данные!E18</f>
        <v>4249</v>
      </c>
      <c r="E38" s="55">
        <f>C38/C43*100</f>
        <v>5.172317384578107</v>
      </c>
      <c r="F38" s="55">
        <f>D38/D43*100</f>
        <v>6.119039732715045</v>
      </c>
      <c r="G38" s="55">
        <f t="shared" si="4"/>
        <v>1474</v>
      </c>
      <c r="H38" s="55">
        <f t="shared" si="5"/>
        <v>0.9467223481369382</v>
      </c>
      <c r="I38" s="55">
        <f>G38/G43*100</f>
        <v>9.336204712439827</v>
      </c>
    </row>
    <row r="39" spans="2:9" ht="22.5">
      <c r="B39" s="2" t="s">
        <v>343</v>
      </c>
      <c r="C39" s="55">
        <f>Данные!D19</f>
        <v>15154</v>
      </c>
      <c r="D39" s="55">
        <f>Данные!E19</f>
        <v>22432</v>
      </c>
      <c r="E39" s="55">
        <f>C39/C43*100</f>
        <v>28.24551266518797</v>
      </c>
      <c r="F39" s="55">
        <f>D39/D43*100</f>
        <v>32.30461268163424</v>
      </c>
      <c r="G39" s="55">
        <f t="shared" si="4"/>
        <v>7278</v>
      </c>
      <c r="H39" s="55">
        <f t="shared" si="5"/>
        <v>4.059100016446269</v>
      </c>
      <c r="I39" s="55">
        <f>G39/G43*100</f>
        <v>46.0983025082341</v>
      </c>
    </row>
    <row r="40" spans="2:9" ht="11.25">
      <c r="B40" s="2" t="s">
        <v>344</v>
      </c>
      <c r="C40" s="55">
        <f>Данные!D20</f>
        <v>0</v>
      </c>
      <c r="D40" s="55">
        <f>Данные!E20</f>
        <v>0</v>
      </c>
      <c r="E40" s="55">
        <f>C40/C43*100</f>
        <v>0</v>
      </c>
      <c r="F40" s="55">
        <f>D40/D43*100</f>
        <v>0</v>
      </c>
      <c r="G40" s="55">
        <f t="shared" si="4"/>
        <v>0</v>
      </c>
      <c r="H40" s="55">
        <f t="shared" si="5"/>
        <v>0</v>
      </c>
      <c r="I40" s="55">
        <f>G40/G43*100</f>
        <v>0</v>
      </c>
    </row>
    <row r="41" spans="2:9" ht="11.25">
      <c r="B41" s="2" t="s">
        <v>345</v>
      </c>
      <c r="C41" s="55">
        <f>Данные!D21</f>
        <v>0</v>
      </c>
      <c r="D41" s="55">
        <f>Данные!E21</f>
        <v>0</v>
      </c>
      <c r="E41" s="55">
        <f>C41/C43*100</f>
        <v>0</v>
      </c>
      <c r="F41" s="55">
        <f>D41/D43*100</f>
        <v>0</v>
      </c>
      <c r="G41" s="55">
        <f t="shared" si="4"/>
        <v>0</v>
      </c>
      <c r="H41" s="55">
        <f t="shared" si="5"/>
        <v>0</v>
      </c>
      <c r="I41" s="55">
        <f>G41/G43*100</f>
        <v>0</v>
      </c>
    </row>
    <row r="42" spans="2:9" ht="11.25">
      <c r="B42" s="2" t="s">
        <v>346</v>
      </c>
      <c r="C42" s="55">
        <f>Данные!D22</f>
        <v>0</v>
      </c>
      <c r="D42" s="55">
        <f>Данные!E22</f>
        <v>0</v>
      </c>
      <c r="E42" s="55">
        <f>C42/C43*100</f>
        <v>0</v>
      </c>
      <c r="F42" s="55">
        <f>D42/D43*100</f>
        <v>0</v>
      </c>
      <c r="G42" s="55">
        <f t="shared" si="4"/>
        <v>0</v>
      </c>
      <c r="H42" s="55">
        <f t="shared" si="5"/>
        <v>0</v>
      </c>
      <c r="I42" s="55">
        <f>G42/G43*100</f>
        <v>0</v>
      </c>
    </row>
    <row r="43" spans="2:9" ht="11.25">
      <c r="B43" s="8" t="s">
        <v>347</v>
      </c>
      <c r="C43" s="59">
        <f aca="true" t="shared" si="6" ref="C43:I43">SUM(C36:C42)</f>
        <v>53651</v>
      </c>
      <c r="D43" s="59">
        <f t="shared" si="6"/>
        <v>69439</v>
      </c>
      <c r="E43" s="59">
        <f t="shared" si="6"/>
        <v>100</v>
      </c>
      <c r="F43" s="59">
        <f t="shared" si="6"/>
        <v>100</v>
      </c>
      <c r="G43" s="59">
        <f t="shared" si="6"/>
        <v>15788</v>
      </c>
      <c r="H43" s="59">
        <f t="shared" si="6"/>
        <v>8.881784197001252E-16</v>
      </c>
      <c r="I43" s="59">
        <f t="shared" si="6"/>
        <v>99.99999999999999</v>
      </c>
    </row>
    <row r="46" ht="12.75">
      <c r="B46" s="3" t="s">
        <v>777</v>
      </c>
    </row>
    <row r="48" spans="2:9" ht="38.25" customHeight="1">
      <c r="B48" s="585" t="s">
        <v>318</v>
      </c>
      <c r="C48" s="588" t="s">
        <v>354</v>
      </c>
      <c r="D48" s="589"/>
      <c r="E48" s="588" t="s">
        <v>360</v>
      </c>
      <c r="F48" s="589"/>
      <c r="G48" s="588" t="s">
        <v>321</v>
      </c>
      <c r="H48" s="592"/>
      <c r="I48" s="589"/>
    </row>
    <row r="49" spans="2:9" ht="33.75">
      <c r="B49" s="587"/>
      <c r="C49" s="4" t="s">
        <v>322</v>
      </c>
      <c r="D49" s="5" t="s">
        <v>323</v>
      </c>
      <c r="E49" s="5" t="s">
        <v>322</v>
      </c>
      <c r="F49" s="5" t="s">
        <v>323</v>
      </c>
      <c r="G49" s="5" t="s">
        <v>324</v>
      </c>
      <c r="H49" s="5" t="s">
        <v>325</v>
      </c>
      <c r="I49" s="5" t="s">
        <v>382</v>
      </c>
    </row>
    <row r="50" spans="2:9" ht="22.5">
      <c r="B50" s="2" t="s">
        <v>348</v>
      </c>
      <c r="C50" s="55">
        <f>C14</f>
        <v>78272</v>
      </c>
      <c r="D50" s="55">
        <f>D14</f>
        <v>51776</v>
      </c>
      <c r="E50" s="55">
        <f>C50/C52*100</f>
        <v>53.41522503156243</v>
      </c>
      <c r="F50" s="55">
        <f>D50/D52*100</f>
        <v>36.75367174689259</v>
      </c>
      <c r="G50" s="55">
        <f>D50-C50</f>
        <v>-26496</v>
      </c>
      <c r="H50" s="55">
        <f>F50-E50</f>
        <v>-16.661553284669836</v>
      </c>
      <c r="I50" s="55">
        <f>G50/G52*100</f>
        <v>467.961850936065</v>
      </c>
    </row>
    <row r="51" spans="2:9" ht="22.5">
      <c r="B51" s="2" t="s">
        <v>349</v>
      </c>
      <c r="C51" s="55">
        <f>C28</f>
        <v>68263</v>
      </c>
      <c r="D51" s="55">
        <f>D28</f>
        <v>89097</v>
      </c>
      <c r="E51" s="55">
        <f>C51/C52*100</f>
        <v>46.58477496843758</v>
      </c>
      <c r="F51" s="55">
        <f>D51/D52*100</f>
        <v>63.24632825310741</v>
      </c>
      <c r="G51" s="55">
        <f>D51-C51</f>
        <v>20834</v>
      </c>
      <c r="H51" s="55">
        <f>F51-E51</f>
        <v>16.66155328466983</v>
      </c>
      <c r="I51" s="55">
        <f>G51/G52*100</f>
        <v>-367.961850936065</v>
      </c>
    </row>
    <row r="52" spans="2:9" ht="11.25">
      <c r="B52" s="8" t="s">
        <v>350</v>
      </c>
      <c r="C52" s="59">
        <f aca="true" t="shared" si="7" ref="C52:I52">SUM(C50:C51)</f>
        <v>146535</v>
      </c>
      <c r="D52" s="59">
        <f t="shared" si="7"/>
        <v>140873</v>
      </c>
      <c r="E52" s="59">
        <f t="shared" si="7"/>
        <v>100</v>
      </c>
      <c r="F52" s="59">
        <f t="shared" si="7"/>
        <v>100</v>
      </c>
      <c r="G52" s="59">
        <f t="shared" si="7"/>
        <v>-5662</v>
      </c>
      <c r="H52" s="59">
        <f t="shared" si="7"/>
        <v>0</v>
      </c>
      <c r="I52" s="59">
        <f t="shared" si="7"/>
        <v>100</v>
      </c>
    </row>
    <row r="53" spans="2:9" ht="33.75">
      <c r="B53" s="2" t="s">
        <v>351</v>
      </c>
      <c r="C53" s="60">
        <f>C51/C50</f>
        <v>0.8721254088307441</v>
      </c>
      <c r="D53" s="60">
        <f>D51/D50</f>
        <v>1.7208165945611866</v>
      </c>
      <c r="E53" s="61"/>
      <c r="F53" s="61"/>
      <c r="G53" s="61"/>
      <c r="H53" s="61"/>
      <c r="I53" s="61"/>
    </row>
    <row r="56" ht="12.75">
      <c r="B56" s="3" t="s">
        <v>22</v>
      </c>
    </row>
    <row r="58" spans="2:9" ht="31.5" customHeight="1">
      <c r="B58" s="594" t="s">
        <v>318</v>
      </c>
      <c r="C58" s="596" t="s">
        <v>354</v>
      </c>
      <c r="D58" s="597"/>
      <c r="E58" s="596" t="s">
        <v>362</v>
      </c>
      <c r="F58" s="597"/>
      <c r="G58" s="596" t="s">
        <v>321</v>
      </c>
      <c r="H58" s="598"/>
      <c r="I58" s="597"/>
    </row>
    <row r="59" spans="2:9" ht="45.75" customHeight="1">
      <c r="B59" s="595"/>
      <c r="C59" s="6" t="s">
        <v>352</v>
      </c>
      <c r="D59" s="7" t="s">
        <v>353</v>
      </c>
      <c r="E59" s="7" t="s">
        <v>352</v>
      </c>
      <c r="F59" s="7" t="s">
        <v>353</v>
      </c>
      <c r="G59" s="7" t="s">
        <v>324</v>
      </c>
      <c r="H59" s="7" t="s">
        <v>325</v>
      </c>
      <c r="I59" s="7" t="s">
        <v>381</v>
      </c>
    </row>
    <row r="60" spans="2:9" ht="11.25">
      <c r="B60" s="9" t="s">
        <v>363</v>
      </c>
      <c r="C60" s="55">
        <f>Данные!D69</f>
        <v>11</v>
      </c>
      <c r="D60" s="55">
        <f>Данные!E69</f>
        <v>21800</v>
      </c>
      <c r="E60" s="55">
        <f>C60/C69*100</f>
        <v>0.009960790705676745</v>
      </c>
      <c r="F60" s="55">
        <f>D60/D69*100</f>
        <v>24.442476090100797</v>
      </c>
      <c r="G60" s="55">
        <f aca="true" t="shared" si="8" ref="G60:G65">D60-C60</f>
        <v>21789</v>
      </c>
      <c r="H60" s="55">
        <f aca="true" t="shared" si="9" ref="H60:H65">F60-E60</f>
        <v>24.43251529939512</v>
      </c>
      <c r="I60" s="55">
        <f>G60/G69*100</f>
        <v>-102.56543023912634</v>
      </c>
    </row>
    <row r="61" spans="2:9" ht="11.25">
      <c r="B61" s="2" t="s">
        <v>364</v>
      </c>
      <c r="C61" s="55">
        <f>Данные!D71</f>
        <v>44224</v>
      </c>
      <c r="D61" s="55">
        <f>Данные!E71</f>
        <v>9469</v>
      </c>
      <c r="E61" s="55">
        <f>C61/C69*100</f>
        <v>40.046000742531675</v>
      </c>
      <c r="F61" s="55">
        <f>D61/D69*100</f>
        <v>10.616780096200204</v>
      </c>
      <c r="G61" s="55">
        <f t="shared" si="8"/>
        <v>-34755</v>
      </c>
      <c r="H61" s="55">
        <f t="shared" si="9"/>
        <v>-29.429220646331473</v>
      </c>
      <c r="I61" s="55">
        <f>G61/G69*100</f>
        <v>163.59913387309356</v>
      </c>
    </row>
    <row r="62" spans="2:9" ht="11.25">
      <c r="B62" s="2" t="s">
        <v>365</v>
      </c>
      <c r="C62" s="56">
        <f>Данные!D72</f>
        <v>0</v>
      </c>
      <c r="D62" s="56">
        <f>Данные!E72</f>
        <v>0</v>
      </c>
      <c r="E62" s="56">
        <f>C62/C69*100</f>
        <v>0</v>
      </c>
      <c r="F62" s="56">
        <f>D62/D69*100</f>
        <v>0</v>
      </c>
      <c r="G62" s="55">
        <f t="shared" si="8"/>
        <v>0</v>
      </c>
      <c r="H62" s="55">
        <f t="shared" si="9"/>
        <v>0</v>
      </c>
      <c r="I62" s="56">
        <f>G62/G69*100</f>
        <v>0</v>
      </c>
    </row>
    <row r="63" spans="2:9" ht="11.25">
      <c r="B63" s="2" t="s">
        <v>366</v>
      </c>
      <c r="C63" s="55">
        <f>Данные!D75</f>
        <v>0</v>
      </c>
      <c r="D63" s="55">
        <f>Данные!E75</f>
        <v>0</v>
      </c>
      <c r="E63" s="55">
        <f>C63/C69*100</f>
        <v>0</v>
      </c>
      <c r="F63" s="55">
        <f>D63/D69*100</f>
        <v>0</v>
      </c>
      <c r="G63" s="55">
        <f t="shared" si="8"/>
        <v>0</v>
      </c>
      <c r="H63" s="55">
        <f t="shared" si="9"/>
        <v>0</v>
      </c>
      <c r="I63" s="55">
        <f>G64/G69*100</f>
        <v>38.96629636603276</v>
      </c>
    </row>
    <row r="64" spans="2:9" ht="22.5">
      <c r="B64" s="9" t="s">
        <v>367</v>
      </c>
      <c r="C64" s="53">
        <f>Данные!D77+Данные!D78+Данные!D79+Данные!D80</f>
        <v>66198</v>
      </c>
      <c r="D64" s="53">
        <f>Данные!E79+Данные!E78+Данные!E80+Данные!E77</f>
        <v>57920</v>
      </c>
      <c r="E64" s="53">
        <f>C64/C69*100</f>
        <v>59.94403846676265</v>
      </c>
      <c r="F64" s="53">
        <f>D64/D69*100</f>
        <v>64.940743813699</v>
      </c>
      <c r="G64" s="55">
        <f t="shared" si="8"/>
        <v>-8278</v>
      </c>
      <c r="H64" s="55">
        <f t="shared" si="9"/>
        <v>4.996705346936352</v>
      </c>
      <c r="I64" s="53">
        <f>G64/G69*100</f>
        <v>38.96629636603276</v>
      </c>
    </row>
    <row r="65" spans="2:9" ht="11.25">
      <c r="B65" s="9" t="s">
        <v>368</v>
      </c>
      <c r="C65" s="53">
        <f>Данные!C103</f>
        <v>0</v>
      </c>
      <c r="D65" s="53">
        <f>Данные!E103</f>
        <v>0</v>
      </c>
      <c r="E65" s="53">
        <f>C65/C69*100</f>
        <v>0</v>
      </c>
      <c r="F65" s="53">
        <f>D65/D69*100</f>
        <v>0</v>
      </c>
      <c r="G65" s="55">
        <f t="shared" si="8"/>
        <v>0</v>
      </c>
      <c r="H65" s="55">
        <f t="shared" si="9"/>
        <v>0</v>
      </c>
      <c r="I65" s="53">
        <f>G65/G69*100</f>
        <v>0</v>
      </c>
    </row>
    <row r="66" spans="2:9" ht="11.25">
      <c r="B66" s="11" t="s">
        <v>369</v>
      </c>
      <c r="C66" s="57"/>
      <c r="D66" s="57"/>
      <c r="E66" s="58"/>
      <c r="F66" s="58"/>
      <c r="G66" s="57"/>
      <c r="H66" s="57"/>
      <c r="I66" s="57"/>
    </row>
    <row r="67" spans="2:9" ht="22.5">
      <c r="B67" s="9" t="s">
        <v>370</v>
      </c>
      <c r="C67" s="53">
        <f>Данные!D39</f>
        <v>0</v>
      </c>
      <c r="D67" s="53">
        <f>Данные!E39</f>
        <v>0</v>
      </c>
      <c r="E67" s="53">
        <f>D67-C67</f>
        <v>0</v>
      </c>
      <c r="F67" s="53">
        <f>D67/D69*100</f>
        <v>0</v>
      </c>
      <c r="G67" s="53">
        <f>D67-C67</f>
        <v>0</v>
      </c>
      <c r="H67" s="53">
        <f>F67-E67</f>
        <v>0</v>
      </c>
      <c r="I67" s="53">
        <f>G67/G69*100</f>
        <v>0</v>
      </c>
    </row>
    <row r="68" spans="2:9" ht="24.75" customHeight="1">
      <c r="B68" s="9" t="s">
        <v>371</v>
      </c>
      <c r="C68" s="53">
        <f>Данные!D34</f>
        <v>0</v>
      </c>
      <c r="D68" s="53">
        <f>Данные!E34</f>
        <v>0</v>
      </c>
      <c r="E68" s="53">
        <f>D68-C68</f>
        <v>0</v>
      </c>
      <c r="F68" s="53">
        <f>D68/D69*100</f>
        <v>0</v>
      </c>
      <c r="G68" s="53">
        <f>D68-C68</f>
        <v>0</v>
      </c>
      <c r="H68" s="53">
        <f>F68-E68</f>
        <v>0</v>
      </c>
      <c r="I68" s="53">
        <f>G68/G69*100</f>
        <v>0</v>
      </c>
    </row>
    <row r="69" spans="2:9" ht="24.75" customHeight="1">
      <c r="B69" s="12" t="s">
        <v>730</v>
      </c>
      <c r="C69" s="54">
        <f>SUM(C60:C65)-C67-C68</f>
        <v>110433</v>
      </c>
      <c r="D69" s="54">
        <f>SUM(D60:D65)-D67-D68</f>
        <v>89189</v>
      </c>
      <c r="E69" s="54">
        <f>SUM(E60:E68)</f>
        <v>100</v>
      </c>
      <c r="F69" s="54">
        <f>SUM(F60:F68)</f>
        <v>100</v>
      </c>
      <c r="G69" s="54">
        <f>SUM(G60:G68)</f>
        <v>-21244</v>
      </c>
      <c r="H69" s="54">
        <f>SUM(H60:H68)</f>
        <v>0</v>
      </c>
      <c r="I69" s="54">
        <f>SUM(I60:J68)</f>
        <v>138.96629636603274</v>
      </c>
    </row>
    <row r="70" ht="11.25">
      <c r="B70" s="1" t="s">
        <v>729</v>
      </c>
    </row>
    <row r="72" ht="12.75">
      <c r="B72" s="3" t="s">
        <v>778</v>
      </c>
    </row>
    <row r="74" spans="2:9" ht="36" customHeight="1">
      <c r="B74" s="594" t="s">
        <v>318</v>
      </c>
      <c r="C74" s="596" t="s">
        <v>354</v>
      </c>
      <c r="D74" s="597"/>
      <c r="E74" s="596" t="s">
        <v>372</v>
      </c>
      <c r="F74" s="597"/>
      <c r="G74" s="596" t="s">
        <v>321</v>
      </c>
      <c r="H74" s="598"/>
      <c r="I74" s="597"/>
    </row>
    <row r="75" spans="2:9" ht="33.75">
      <c r="B75" s="595"/>
      <c r="C75" s="6" t="s">
        <v>352</v>
      </c>
      <c r="D75" s="7" t="s">
        <v>353</v>
      </c>
      <c r="E75" s="7" t="s">
        <v>352</v>
      </c>
      <c r="F75" s="7" t="s">
        <v>353</v>
      </c>
      <c r="G75" s="7" t="s">
        <v>324</v>
      </c>
      <c r="H75" s="7" t="s">
        <v>325</v>
      </c>
      <c r="I75" s="7" t="s">
        <v>380</v>
      </c>
    </row>
    <row r="76" spans="2:9" ht="11.25">
      <c r="B76" s="9" t="s">
        <v>373</v>
      </c>
      <c r="C76" s="53">
        <f>Данные!D83</f>
        <v>306</v>
      </c>
      <c r="D76" s="53">
        <f>Данные!E83</f>
        <v>306</v>
      </c>
      <c r="E76" s="53">
        <f>C76/C84*100</f>
        <v>0.8475984709988366</v>
      </c>
      <c r="F76" s="53">
        <f>D76/D84*100</f>
        <v>0.7041767345529858</v>
      </c>
      <c r="G76" s="53">
        <f>D76-C76</f>
        <v>0</v>
      </c>
      <c r="H76" s="53">
        <f>F76-E76</f>
        <v>-0.14342173644585077</v>
      </c>
      <c r="I76" s="53">
        <f>G76/G84*100</f>
        <v>0</v>
      </c>
    </row>
    <row r="77" spans="2:9" ht="22.5">
      <c r="B77" s="9" t="s">
        <v>566</v>
      </c>
      <c r="C77" s="53">
        <f>Данные!D87</f>
        <v>6272</v>
      </c>
      <c r="D77" s="53">
        <f>Данные!E87</f>
        <v>4311</v>
      </c>
      <c r="E77" s="53">
        <f>C77/C84*100</f>
        <v>17.372998725832364</v>
      </c>
      <c r="F77" s="53">
        <f>D77/D84*100</f>
        <v>9.920607525025888</v>
      </c>
      <c r="G77" s="53">
        <f aca="true" t="shared" si="10" ref="G77:G83">D77-C77</f>
        <v>-1961</v>
      </c>
      <c r="H77" s="53">
        <f aca="true" t="shared" si="11" ref="H77:H83">F77-E77</f>
        <v>-7.452391200806476</v>
      </c>
      <c r="I77" s="53">
        <f>G77/G84*100</f>
        <v>-26.66938664490684</v>
      </c>
    </row>
    <row r="78" spans="2:9" ht="11.25">
      <c r="B78" s="9" t="s">
        <v>374</v>
      </c>
      <c r="C78" s="53">
        <f>Данные!D90</f>
        <v>5898</v>
      </c>
      <c r="D78" s="53">
        <f>Данные!E90</f>
        <v>25000</v>
      </c>
      <c r="E78" s="53">
        <f>C78/C84*100</f>
        <v>16.337045039056008</v>
      </c>
      <c r="F78" s="53">
        <f>D78/D84*100</f>
        <v>57.53077896674721</v>
      </c>
      <c r="G78" s="53">
        <f t="shared" si="10"/>
        <v>19102</v>
      </c>
      <c r="H78" s="53">
        <f t="shared" si="11"/>
        <v>41.1937339276912</v>
      </c>
      <c r="I78" s="53">
        <f>G78/G84*100</f>
        <v>259.7851217190263</v>
      </c>
    </row>
    <row r="79" spans="2:9" ht="22.5">
      <c r="B79" s="9" t="s">
        <v>375</v>
      </c>
      <c r="C79" s="53">
        <f>Данные!D93</f>
        <v>23626</v>
      </c>
      <c r="D79" s="53">
        <f>Данные!E93</f>
        <v>13838</v>
      </c>
      <c r="E79" s="53">
        <f>C79/C84*100</f>
        <v>65.44235776411278</v>
      </c>
      <c r="F79" s="53">
        <f>D79/D84*100</f>
        <v>31.844436773673916</v>
      </c>
      <c r="G79" s="53">
        <f t="shared" si="10"/>
        <v>-9788</v>
      </c>
      <c r="H79" s="53">
        <f t="shared" si="11"/>
        <v>-33.597920990438865</v>
      </c>
      <c r="I79" s="53">
        <f>G79/G84*100</f>
        <v>-133.1157350741194</v>
      </c>
    </row>
    <row r="80" spans="2:9" ht="11.25">
      <c r="B80" s="9" t="s">
        <v>376</v>
      </c>
      <c r="C80" s="53">
        <f>Данные!D102</f>
        <v>0</v>
      </c>
      <c r="D80" s="53">
        <f>Данные!E102</f>
        <v>0</v>
      </c>
      <c r="E80" s="53">
        <f>C80/C84*100</f>
        <v>0</v>
      </c>
      <c r="F80" s="53">
        <f>D80/D84*100</f>
        <v>0</v>
      </c>
      <c r="G80" s="53">
        <f t="shared" si="10"/>
        <v>0</v>
      </c>
      <c r="H80" s="53">
        <f t="shared" si="11"/>
        <v>0</v>
      </c>
      <c r="I80" s="53">
        <f>G80/G84*100</f>
        <v>0</v>
      </c>
    </row>
    <row r="81" spans="2:9" ht="11.25">
      <c r="B81" s="9" t="s">
        <v>377</v>
      </c>
      <c r="C81" s="53">
        <f>Данные!D104</f>
        <v>0</v>
      </c>
      <c r="D81" s="53">
        <f>Данные!E104</f>
        <v>0</v>
      </c>
      <c r="E81" s="53">
        <f>C81/C84*100</f>
        <v>0</v>
      </c>
      <c r="F81" s="53">
        <f>D81/D84*100</f>
        <v>0</v>
      </c>
      <c r="G81" s="53">
        <f t="shared" si="10"/>
        <v>0</v>
      </c>
      <c r="H81" s="53">
        <f t="shared" si="11"/>
        <v>0</v>
      </c>
      <c r="I81" s="53">
        <f>G81/G84*100</f>
        <v>0</v>
      </c>
    </row>
    <row r="82" spans="2:9" ht="22.5">
      <c r="B82" s="9" t="s">
        <v>567</v>
      </c>
      <c r="C82" s="53">
        <f>Данные!D105</f>
        <v>0</v>
      </c>
      <c r="D82" s="53">
        <f>Данные!E105</f>
        <v>0</v>
      </c>
      <c r="E82" s="53">
        <f>C82/C84*100</f>
        <v>0</v>
      </c>
      <c r="F82" s="53">
        <f>D82/D84*100</f>
        <v>0</v>
      </c>
      <c r="G82" s="53">
        <f t="shared" si="10"/>
        <v>0</v>
      </c>
      <c r="H82" s="53">
        <f t="shared" si="11"/>
        <v>0</v>
      </c>
      <c r="I82" s="53">
        <f>G82/G84*100</f>
        <v>0</v>
      </c>
    </row>
    <row r="83" spans="2:9" ht="22.5">
      <c r="B83" s="9" t="s">
        <v>378</v>
      </c>
      <c r="C83" s="53">
        <f>Данные!D76</f>
        <v>0</v>
      </c>
      <c r="D83" s="53">
        <f>Данные!E76</f>
        <v>0</v>
      </c>
      <c r="E83" s="53">
        <f>C83/C84*100</f>
        <v>0</v>
      </c>
      <c r="F83" s="53">
        <f>D83/D84*100</f>
        <v>0</v>
      </c>
      <c r="G83" s="53">
        <f t="shared" si="10"/>
        <v>0</v>
      </c>
      <c r="H83" s="53">
        <f t="shared" si="11"/>
        <v>0</v>
      </c>
      <c r="I83" s="53">
        <f>G83/G84*100</f>
        <v>0</v>
      </c>
    </row>
    <row r="84" spans="2:9" ht="22.5">
      <c r="B84" s="12" t="s">
        <v>379</v>
      </c>
      <c r="C84" s="54">
        <f aca="true" t="shared" si="12" ref="C84:I84">SUM(C76:C83)</f>
        <v>36102</v>
      </c>
      <c r="D84" s="54">
        <f t="shared" si="12"/>
        <v>43455</v>
      </c>
      <c r="E84" s="54">
        <f t="shared" si="12"/>
        <v>100</v>
      </c>
      <c r="F84" s="54">
        <f t="shared" si="12"/>
        <v>100</v>
      </c>
      <c r="G84" s="54">
        <f t="shared" si="12"/>
        <v>7353</v>
      </c>
      <c r="H84" s="54">
        <f t="shared" si="12"/>
        <v>7.105427357601002E-15</v>
      </c>
      <c r="I84" s="54">
        <f t="shared" si="12"/>
        <v>100.00000000000003</v>
      </c>
    </row>
    <row r="87" ht="12.75">
      <c r="B87" s="3" t="s">
        <v>779</v>
      </c>
    </row>
    <row r="89" spans="2:9" ht="36.75" customHeight="1">
      <c r="B89" s="594" t="s">
        <v>318</v>
      </c>
      <c r="C89" s="596" t="s">
        <v>354</v>
      </c>
      <c r="D89" s="597"/>
      <c r="E89" s="596" t="s">
        <v>568</v>
      </c>
      <c r="F89" s="597"/>
      <c r="G89" s="596" t="s">
        <v>321</v>
      </c>
      <c r="H89" s="598"/>
      <c r="I89" s="597"/>
    </row>
    <row r="90" spans="2:9" ht="41.25" customHeight="1">
      <c r="B90" s="595"/>
      <c r="C90" s="6" t="s">
        <v>352</v>
      </c>
      <c r="D90" s="7" t="s">
        <v>353</v>
      </c>
      <c r="E90" s="7" t="s">
        <v>352</v>
      </c>
      <c r="F90" s="7" t="s">
        <v>353</v>
      </c>
      <c r="G90" s="7" t="s">
        <v>324</v>
      </c>
      <c r="H90" s="7" t="s">
        <v>325</v>
      </c>
      <c r="I90" s="7" t="s">
        <v>569</v>
      </c>
    </row>
    <row r="91" spans="2:9" ht="11.25">
      <c r="B91" s="51" t="s">
        <v>383</v>
      </c>
      <c r="C91" s="53">
        <f>C69</f>
        <v>110433</v>
      </c>
      <c r="D91" s="53">
        <f>D69</f>
        <v>89189</v>
      </c>
      <c r="E91" s="53">
        <f>C91/C94*100</f>
        <v>75.36288258777766</v>
      </c>
      <c r="F91" s="53">
        <f>D91/D94*100</f>
        <v>63.31163530271947</v>
      </c>
      <c r="G91" s="53">
        <f>D91-C91</f>
        <v>-21244</v>
      </c>
      <c r="H91" s="53">
        <f>F91-E91</f>
        <v>-12.051247285058189</v>
      </c>
      <c r="I91" s="53">
        <f>G91/G94*100</f>
        <v>375.20310844224656</v>
      </c>
    </row>
    <row r="92" spans="2:9" ht="22.5">
      <c r="B92" s="51" t="s">
        <v>384</v>
      </c>
      <c r="C92" s="53">
        <f>Данные!D88</f>
        <v>6578</v>
      </c>
      <c r="D92" s="53">
        <f>Данные!E88</f>
        <v>12846</v>
      </c>
      <c r="E92" s="53">
        <f>C92/C94*100</f>
        <v>4.489029924591394</v>
      </c>
      <c r="F92" s="53">
        <f>D92/D94*100</f>
        <v>9.118851731701604</v>
      </c>
      <c r="G92" s="53">
        <f>D92-C92</f>
        <v>6268</v>
      </c>
      <c r="H92" s="53">
        <f>F92-E92</f>
        <v>4.6298218071102095</v>
      </c>
      <c r="I92" s="53">
        <f>G92/G94*100</f>
        <v>-110.70293182620983</v>
      </c>
    </row>
    <row r="93" spans="2:9" ht="22.5">
      <c r="B93" s="51" t="s">
        <v>385</v>
      </c>
      <c r="C93" s="53">
        <f>SUM(C78:C83)</f>
        <v>29524</v>
      </c>
      <c r="D93" s="53">
        <f>SUM(D78:D83)</f>
        <v>38838</v>
      </c>
      <c r="E93" s="53">
        <f>C93/C94*100</f>
        <v>20.148087487630942</v>
      </c>
      <c r="F93" s="53">
        <f>D93/D94*100</f>
        <v>27.569512965578923</v>
      </c>
      <c r="G93" s="53">
        <f>D93-C93</f>
        <v>9314</v>
      </c>
      <c r="H93" s="53">
        <f>F93-E93</f>
        <v>7.421425477947981</v>
      </c>
      <c r="I93" s="53">
        <f>G93/G94*100</f>
        <v>-164.50017661603673</v>
      </c>
    </row>
    <row r="94" spans="2:9" ht="11.25">
      <c r="B94" s="51" t="s">
        <v>386</v>
      </c>
      <c r="C94" s="53">
        <f aca="true" t="shared" si="13" ref="C94:I94">SUM(C91:C93)</f>
        <v>146535</v>
      </c>
      <c r="D94" s="53">
        <f t="shared" si="13"/>
        <v>140873</v>
      </c>
      <c r="E94" s="53">
        <f t="shared" si="13"/>
        <v>100</v>
      </c>
      <c r="F94" s="53">
        <f t="shared" si="13"/>
        <v>100</v>
      </c>
      <c r="G94" s="53">
        <f t="shared" si="13"/>
        <v>-5662</v>
      </c>
      <c r="H94" s="53">
        <f t="shared" si="13"/>
        <v>0</v>
      </c>
      <c r="I94" s="53">
        <f t="shared" si="13"/>
        <v>99.99999999999997</v>
      </c>
    </row>
    <row r="95" spans="2:9" ht="22.5">
      <c r="B95" s="13" t="s">
        <v>388</v>
      </c>
      <c r="C95" s="65">
        <f>C91/C94</f>
        <v>0.7536288258777767</v>
      </c>
      <c r="D95" s="65">
        <f>D91/D94</f>
        <v>0.6331163530271947</v>
      </c>
      <c r="E95" s="57"/>
      <c r="F95" s="57"/>
      <c r="G95" s="57"/>
      <c r="H95" s="57"/>
      <c r="I95" s="57"/>
    </row>
    <row r="96" spans="2:9" ht="37.5" customHeight="1">
      <c r="B96" s="13" t="s">
        <v>570</v>
      </c>
      <c r="C96" s="65">
        <f>(C92+C93)/C91</f>
        <v>0.32691315096031076</v>
      </c>
      <c r="D96" s="65">
        <f>(D92+D93)/D91</f>
        <v>0.5794885019453072</v>
      </c>
      <c r="E96" s="57"/>
      <c r="F96" s="57"/>
      <c r="G96" s="57"/>
      <c r="H96" s="57"/>
      <c r="I96" s="57"/>
    </row>
    <row r="97" spans="2:9" ht="47.25" customHeight="1">
      <c r="B97" s="13" t="s">
        <v>389</v>
      </c>
      <c r="C97" s="65">
        <f>C93/(C91+C92)</f>
        <v>0.25231815812188596</v>
      </c>
      <c r="D97" s="65">
        <f>D93/(D91+D92)</f>
        <v>0.3806340961434802</v>
      </c>
      <c r="E97" s="57"/>
      <c r="F97" s="57"/>
      <c r="G97" s="57"/>
      <c r="H97" s="57"/>
      <c r="I97" s="57"/>
    </row>
    <row r="100" ht="12.75">
      <c r="B100" s="3"/>
    </row>
    <row r="101" spans="1:8" ht="11.25">
      <c r="A101" s="24"/>
      <c r="B101" s="24"/>
      <c r="C101" s="24"/>
      <c r="D101" s="24"/>
      <c r="E101" s="24"/>
      <c r="F101" s="24"/>
      <c r="G101" s="24"/>
      <c r="H101" s="24"/>
    </row>
    <row r="102" spans="1:8" ht="39.75" customHeight="1">
      <c r="A102" s="24"/>
      <c r="B102" s="25"/>
      <c r="C102" s="25"/>
      <c r="D102" s="25"/>
      <c r="E102" s="25"/>
      <c r="F102" s="25"/>
      <c r="G102" s="25"/>
      <c r="H102" s="24"/>
    </row>
    <row r="103" spans="1:8" ht="11.25">
      <c r="A103" s="24"/>
      <c r="B103" s="26"/>
      <c r="C103" s="26"/>
      <c r="D103" s="26"/>
      <c r="E103" s="27"/>
      <c r="F103" s="27"/>
      <c r="G103" s="27"/>
      <c r="H103" s="24"/>
    </row>
    <row r="104" spans="1:8" ht="11.25">
      <c r="A104" s="24"/>
      <c r="B104" s="26"/>
      <c r="C104" s="26"/>
      <c r="D104" s="26"/>
      <c r="E104" s="27"/>
      <c r="F104" s="27"/>
      <c r="G104" s="27"/>
      <c r="H104" s="24"/>
    </row>
    <row r="105" spans="1:8" ht="11.25">
      <c r="A105" s="24"/>
      <c r="B105" s="26"/>
      <c r="C105" s="26"/>
      <c r="D105" s="26"/>
      <c r="E105" s="27"/>
      <c r="F105" s="27"/>
      <c r="G105" s="27"/>
      <c r="H105" s="24"/>
    </row>
    <row r="106" spans="1:8" ht="11.25">
      <c r="A106" s="24"/>
      <c r="B106" s="26"/>
      <c r="C106" s="26"/>
      <c r="D106" s="26"/>
      <c r="E106" s="27"/>
      <c r="F106" s="27"/>
      <c r="G106" s="27"/>
      <c r="H106" s="24"/>
    </row>
    <row r="107" spans="1:8" ht="11.25" customHeight="1">
      <c r="A107" s="24"/>
      <c r="B107" s="26"/>
      <c r="C107" s="26"/>
      <c r="D107" s="26"/>
      <c r="E107" s="27"/>
      <c r="F107" s="27"/>
      <c r="G107" s="27"/>
      <c r="H107" s="24"/>
    </row>
    <row r="108" spans="1:8" ht="12.75" customHeight="1">
      <c r="A108" s="24"/>
      <c r="B108" s="26"/>
      <c r="C108" s="26"/>
      <c r="D108" s="26"/>
      <c r="E108" s="27"/>
      <c r="F108" s="27"/>
      <c r="G108" s="27"/>
      <c r="H108" s="24"/>
    </row>
    <row r="109" spans="1:8" ht="11.25">
      <c r="A109" s="24"/>
      <c r="B109" s="26"/>
      <c r="C109" s="26"/>
      <c r="D109" s="26"/>
      <c r="E109" s="27"/>
      <c r="F109" s="27"/>
      <c r="G109" s="27"/>
      <c r="H109" s="24"/>
    </row>
    <row r="110" spans="1:8" ht="11.25">
      <c r="A110" s="24"/>
      <c r="B110" s="26"/>
      <c r="C110" s="26"/>
      <c r="D110" s="26"/>
      <c r="E110" s="27"/>
      <c r="F110" s="27"/>
      <c r="G110" s="27"/>
      <c r="H110" s="24"/>
    </row>
    <row r="111" spans="1:8" ht="11.25">
      <c r="A111" s="24"/>
      <c r="B111" s="26"/>
      <c r="C111" s="26"/>
      <c r="D111" s="26"/>
      <c r="E111" s="27"/>
      <c r="F111" s="27"/>
      <c r="G111" s="27"/>
      <c r="H111" s="24"/>
    </row>
    <row r="112" spans="1:8" ht="12" customHeight="1">
      <c r="A112" s="24"/>
      <c r="B112" s="26"/>
      <c r="C112" s="26"/>
      <c r="D112" s="26"/>
      <c r="E112" s="27"/>
      <c r="F112" s="27"/>
      <c r="G112" s="27"/>
      <c r="H112" s="24"/>
    </row>
    <row r="113" spans="1:8" ht="11.25">
      <c r="A113" s="24"/>
      <c r="B113" s="26"/>
      <c r="C113" s="26"/>
      <c r="D113" s="26"/>
      <c r="E113" s="27"/>
      <c r="F113" s="27"/>
      <c r="G113" s="27"/>
      <c r="H113" s="24"/>
    </row>
    <row r="114" spans="1:8" ht="12" customHeight="1">
      <c r="A114" s="24"/>
      <c r="B114" s="26"/>
      <c r="C114" s="26"/>
      <c r="D114" s="26"/>
      <c r="E114" s="27"/>
      <c r="F114" s="27"/>
      <c r="G114" s="27"/>
      <c r="H114" s="24"/>
    </row>
    <row r="115" spans="1:8" ht="11.25">
      <c r="A115" s="24"/>
      <c r="B115" s="26"/>
      <c r="C115" s="26"/>
      <c r="D115" s="26"/>
      <c r="E115" s="27"/>
      <c r="F115" s="27"/>
      <c r="G115" s="27"/>
      <c r="H115" s="24"/>
    </row>
    <row r="116" spans="1:8" ht="12.75" customHeight="1">
      <c r="A116" s="24"/>
      <c r="B116" s="26"/>
      <c r="C116" s="26"/>
      <c r="D116" s="26"/>
      <c r="E116" s="27"/>
      <c r="F116" s="27"/>
      <c r="G116" s="27"/>
      <c r="H116" s="24"/>
    </row>
    <row r="117" spans="1:8" ht="11.25">
      <c r="A117" s="24"/>
      <c r="B117" s="26"/>
      <c r="C117" s="26"/>
      <c r="D117" s="26"/>
      <c r="E117" s="27"/>
      <c r="F117" s="27"/>
      <c r="G117" s="27"/>
      <c r="H117" s="24"/>
    </row>
    <row r="118" spans="1:8" ht="12.75" customHeight="1">
      <c r="A118" s="24"/>
      <c r="B118" s="26"/>
      <c r="C118" s="26"/>
      <c r="D118" s="26"/>
      <c r="E118" s="27"/>
      <c r="F118" s="27"/>
      <c r="G118" s="27"/>
      <c r="H118" s="24"/>
    </row>
    <row r="119" spans="1:8" ht="4.5" customHeight="1">
      <c r="A119" s="24"/>
      <c r="B119" s="26"/>
      <c r="C119" s="26"/>
      <c r="D119" s="26"/>
      <c r="E119" s="27"/>
      <c r="F119" s="27"/>
      <c r="G119" s="27"/>
      <c r="H119" s="24"/>
    </row>
    <row r="120" spans="1:8" ht="8.25" customHeight="1">
      <c r="A120" s="24"/>
      <c r="B120" s="26"/>
      <c r="C120" s="26"/>
      <c r="D120" s="26"/>
      <c r="E120" s="27"/>
      <c r="F120" s="27"/>
      <c r="G120" s="27"/>
      <c r="H120" s="24"/>
    </row>
    <row r="121" spans="1:8" ht="16.5" customHeight="1">
      <c r="A121" s="24"/>
      <c r="B121" s="26"/>
      <c r="C121" s="26"/>
      <c r="D121" s="26"/>
      <c r="E121" s="27"/>
      <c r="F121" s="27"/>
      <c r="G121" s="27"/>
      <c r="H121" s="24"/>
    </row>
    <row r="122" spans="1:8" ht="6.75" customHeight="1">
      <c r="A122" s="24"/>
      <c r="B122" s="26"/>
      <c r="C122" s="26"/>
      <c r="D122" s="26"/>
      <c r="E122" s="27"/>
      <c r="F122" s="27"/>
      <c r="G122" s="27"/>
      <c r="H122" s="24"/>
    </row>
    <row r="123" spans="1:8" ht="11.25">
      <c r="A123" s="24"/>
      <c r="B123" s="24"/>
      <c r="C123" s="24"/>
      <c r="D123" s="24"/>
      <c r="E123" s="24"/>
      <c r="F123" s="24"/>
      <c r="G123" s="24"/>
      <c r="H123" s="24"/>
    </row>
    <row r="124" spans="1:8" ht="11.25">
      <c r="A124" s="24"/>
      <c r="B124" s="24"/>
      <c r="C124" s="24"/>
      <c r="D124" s="24"/>
      <c r="E124" s="24"/>
      <c r="F124" s="24"/>
      <c r="G124" s="24"/>
      <c r="H124" s="24"/>
    </row>
    <row r="125" spans="1:8" ht="12.75">
      <c r="A125" s="24"/>
      <c r="B125" s="28"/>
      <c r="C125" s="24"/>
      <c r="D125" s="24"/>
      <c r="E125" s="24"/>
      <c r="F125" s="24"/>
      <c r="G125" s="24"/>
      <c r="H125" s="24"/>
    </row>
    <row r="126" spans="1:8" ht="11.25">
      <c r="A126" s="24"/>
      <c r="B126" s="24"/>
      <c r="C126" s="24"/>
      <c r="D126" s="24"/>
      <c r="E126" s="24"/>
      <c r="F126" s="24"/>
      <c r="G126" s="24"/>
      <c r="H126" s="24"/>
    </row>
    <row r="127" spans="1:8" ht="22.5" customHeight="1">
      <c r="A127" s="24"/>
      <c r="B127" s="25"/>
      <c r="C127" s="25"/>
      <c r="D127" s="25"/>
      <c r="E127" s="25"/>
      <c r="F127" s="25"/>
      <c r="G127" s="25"/>
      <c r="H127" s="24"/>
    </row>
    <row r="128" spans="1:8" ht="22.5" customHeight="1">
      <c r="A128" s="24"/>
      <c r="B128" s="25"/>
      <c r="C128" s="25"/>
      <c r="D128" s="25"/>
      <c r="E128" s="25"/>
      <c r="F128" s="25"/>
      <c r="G128" s="25"/>
      <c r="H128" s="24"/>
    </row>
    <row r="129" spans="1:8" ht="11.25">
      <c r="A129" s="24"/>
      <c r="B129" s="29"/>
      <c r="C129" s="29"/>
      <c r="D129" s="30"/>
      <c r="E129" s="31"/>
      <c r="F129" s="31"/>
      <c r="G129" s="31"/>
      <c r="H129" s="24"/>
    </row>
    <row r="130" spans="1:8" ht="11.25">
      <c r="A130" s="24"/>
      <c r="B130" s="29"/>
      <c r="C130" s="29"/>
      <c r="D130" s="30"/>
      <c r="E130" s="31"/>
      <c r="F130" s="31"/>
      <c r="G130" s="31"/>
      <c r="H130" s="24"/>
    </row>
    <row r="131" spans="1:8" ht="24.75" customHeight="1">
      <c r="A131" s="24"/>
      <c r="B131" s="29"/>
      <c r="C131" s="29"/>
      <c r="D131" s="30"/>
      <c r="E131" s="31"/>
      <c r="F131" s="31"/>
      <c r="G131" s="31"/>
      <c r="H131" s="24"/>
    </row>
    <row r="132" spans="1:8" ht="11.25">
      <c r="A132" s="24"/>
      <c r="B132" s="29"/>
      <c r="C132" s="29"/>
      <c r="D132" s="30"/>
      <c r="E132" s="31"/>
      <c r="F132" s="31"/>
      <c r="G132" s="31"/>
      <c r="H132" s="24"/>
    </row>
    <row r="133" spans="1:8" ht="11.25">
      <c r="A133" s="24"/>
      <c r="B133" s="29"/>
      <c r="C133" s="29"/>
      <c r="D133" s="30"/>
      <c r="E133" s="31"/>
      <c r="F133" s="31"/>
      <c r="G133" s="31"/>
      <c r="H133" s="24"/>
    </row>
    <row r="134" spans="1:8" ht="11.25">
      <c r="A134" s="24"/>
      <c r="B134" s="29"/>
      <c r="C134" s="29"/>
      <c r="D134" s="30"/>
      <c r="E134" s="31"/>
      <c r="F134" s="31"/>
      <c r="G134" s="31"/>
      <c r="H134" s="24"/>
    </row>
    <row r="135" spans="1:8" ht="22.5" customHeight="1">
      <c r="A135" s="24"/>
      <c r="B135" s="29"/>
      <c r="C135" s="29"/>
      <c r="D135" s="30"/>
      <c r="E135" s="31"/>
      <c r="F135" s="31"/>
      <c r="G135" s="31"/>
      <c r="H135" s="24"/>
    </row>
    <row r="136" spans="1:8" ht="11.25">
      <c r="A136" s="24"/>
      <c r="B136" s="29"/>
      <c r="C136" s="29"/>
      <c r="D136" s="30"/>
      <c r="E136" s="31"/>
      <c r="F136" s="31"/>
      <c r="G136" s="31"/>
      <c r="H136" s="24"/>
    </row>
    <row r="137" spans="1:8" ht="11.25">
      <c r="A137" s="24"/>
      <c r="B137" s="29"/>
      <c r="C137" s="29"/>
      <c r="D137" s="30"/>
      <c r="E137" s="31"/>
      <c r="F137" s="31"/>
      <c r="G137" s="31"/>
      <c r="H137" s="24"/>
    </row>
    <row r="138" spans="1:8" ht="11.25">
      <c r="A138" s="24"/>
      <c r="B138" s="29"/>
      <c r="C138" s="29"/>
      <c r="D138" s="30"/>
      <c r="E138" s="31"/>
      <c r="F138" s="31"/>
      <c r="G138" s="31"/>
      <c r="H138" s="24"/>
    </row>
    <row r="139" spans="1:8" ht="11.25">
      <c r="A139" s="24"/>
      <c r="B139" s="29"/>
      <c r="C139" s="29"/>
      <c r="D139" s="30"/>
      <c r="E139" s="31"/>
      <c r="F139" s="31"/>
      <c r="G139" s="31"/>
      <c r="H139" s="24"/>
    </row>
    <row r="140" spans="1:8" ht="11.25">
      <c r="A140" s="24"/>
      <c r="B140" s="32"/>
      <c r="C140" s="32"/>
      <c r="D140" s="30"/>
      <c r="E140" s="31"/>
      <c r="F140" s="31"/>
      <c r="G140" s="31"/>
      <c r="H140" s="24"/>
    </row>
    <row r="141" spans="1:8" ht="11.25">
      <c r="A141" s="24"/>
      <c r="B141" s="29"/>
      <c r="C141" s="29"/>
      <c r="D141" s="30"/>
      <c r="E141" s="31"/>
      <c r="F141" s="31"/>
      <c r="G141" s="31"/>
      <c r="H141" s="24"/>
    </row>
    <row r="142" spans="1:8" ht="11.25">
      <c r="A142" s="24"/>
      <c r="B142" s="32"/>
      <c r="C142" s="32"/>
      <c r="D142" s="30"/>
      <c r="E142" s="31"/>
      <c r="F142" s="31"/>
      <c r="G142" s="31"/>
      <c r="H142" s="24"/>
    </row>
    <row r="143" spans="1:8" ht="11.25">
      <c r="A143" s="24"/>
      <c r="B143" s="29"/>
      <c r="C143" s="29"/>
      <c r="D143" s="30"/>
      <c r="E143" s="31"/>
      <c r="F143" s="31"/>
      <c r="G143" s="31"/>
      <c r="H143" s="24"/>
    </row>
    <row r="144" spans="1:8" ht="11.25">
      <c r="A144" s="24"/>
      <c r="B144" s="32"/>
      <c r="C144" s="32"/>
      <c r="D144" s="30"/>
      <c r="E144" s="31"/>
      <c r="F144" s="31"/>
      <c r="G144" s="31"/>
      <c r="H144" s="24"/>
    </row>
    <row r="145" spans="1:8" ht="22.5" customHeight="1">
      <c r="A145" s="24"/>
      <c r="B145" s="29"/>
      <c r="C145" s="29"/>
      <c r="D145" s="30"/>
      <c r="E145" s="31"/>
      <c r="F145" s="31"/>
      <c r="G145" s="31"/>
      <c r="H145" s="24"/>
    </row>
    <row r="146" spans="1:8" ht="11.25">
      <c r="A146" s="24"/>
      <c r="B146" s="32"/>
      <c r="C146" s="32"/>
      <c r="D146" s="30"/>
      <c r="E146" s="31"/>
      <c r="F146" s="31"/>
      <c r="G146" s="31"/>
      <c r="H146" s="24"/>
    </row>
    <row r="147" spans="1:8" ht="11.25">
      <c r="A147" s="24"/>
      <c r="B147" s="24"/>
      <c r="C147" s="24"/>
      <c r="D147" s="24"/>
      <c r="E147" s="24"/>
      <c r="F147" s="24"/>
      <c r="G147" s="24"/>
      <c r="H147" s="24"/>
    </row>
    <row r="148" spans="1:8" ht="11.25">
      <c r="A148" s="24"/>
      <c r="B148" s="24"/>
      <c r="C148" s="24"/>
      <c r="D148" s="24"/>
      <c r="E148" s="24"/>
      <c r="F148" s="24"/>
      <c r="G148" s="24"/>
      <c r="H148" s="24"/>
    </row>
    <row r="149" spans="1:8" ht="12.75">
      <c r="A149" s="24"/>
      <c r="B149" s="23"/>
      <c r="C149" s="24"/>
      <c r="D149" s="24"/>
      <c r="E149" s="24"/>
      <c r="F149" s="24"/>
      <c r="G149" s="24"/>
      <c r="H149" s="24"/>
    </row>
    <row r="150" spans="1:8" ht="11.25">
      <c r="A150" s="24"/>
      <c r="B150" s="24"/>
      <c r="C150" s="24"/>
      <c r="D150" s="24"/>
      <c r="E150" s="24"/>
      <c r="F150" s="24"/>
      <c r="G150" s="24"/>
      <c r="H150" s="24"/>
    </row>
    <row r="151" spans="1:13" ht="15.75" customHeight="1">
      <c r="A151" s="24"/>
      <c r="B151" s="25"/>
      <c r="C151" s="25"/>
      <c r="D151" s="25"/>
      <c r="E151" s="25"/>
      <c r="F151" s="25"/>
      <c r="G151" s="25"/>
      <c r="H151" s="25"/>
      <c r="I151" s="16"/>
      <c r="J151" s="16"/>
      <c r="K151" s="19"/>
      <c r="L151" s="19"/>
      <c r="M151" s="19"/>
    </row>
    <row r="152" spans="1:10" ht="31.5" customHeight="1">
      <c r="A152" s="24"/>
      <c r="B152" s="25"/>
      <c r="C152" s="25"/>
      <c r="D152" s="25"/>
      <c r="E152" s="25"/>
      <c r="F152" s="25"/>
      <c r="G152" s="25"/>
      <c r="H152" s="25"/>
      <c r="I152" s="16"/>
      <c r="J152" s="16"/>
    </row>
    <row r="153" spans="1:10" ht="15.75" customHeight="1">
      <c r="A153" s="24"/>
      <c r="B153" s="25"/>
      <c r="C153" s="38"/>
      <c r="D153" s="38"/>
      <c r="E153" s="25"/>
      <c r="F153" s="25"/>
      <c r="G153" s="25"/>
      <c r="H153" s="38"/>
      <c r="I153" s="17"/>
      <c r="J153" s="16"/>
    </row>
    <row r="154" spans="1:10" ht="11.25">
      <c r="A154" s="24"/>
      <c r="B154" s="25"/>
      <c r="C154" s="25"/>
      <c r="D154" s="25"/>
      <c r="E154" s="25"/>
      <c r="F154" s="25"/>
      <c r="G154" s="25"/>
      <c r="H154" s="25"/>
      <c r="I154" s="16"/>
      <c r="J154" s="16"/>
    </row>
    <row r="155" spans="1:10" ht="11.25">
      <c r="A155" s="24"/>
      <c r="B155" s="25"/>
      <c r="C155" s="25"/>
      <c r="D155" s="25"/>
      <c r="E155" s="25"/>
      <c r="F155" s="25"/>
      <c r="G155" s="25"/>
      <c r="H155" s="25"/>
      <c r="I155" s="16"/>
      <c r="J155" s="16"/>
    </row>
    <row r="156" spans="1:10" ht="11.25">
      <c r="A156" s="24"/>
      <c r="B156" s="27"/>
      <c r="C156" s="27"/>
      <c r="D156" s="27"/>
      <c r="E156" s="27"/>
      <c r="F156" s="27"/>
      <c r="G156" s="27"/>
      <c r="H156" s="39"/>
      <c r="I156" s="18"/>
      <c r="J156" s="18"/>
    </row>
    <row r="157" spans="1:10" ht="11.25">
      <c r="A157" s="24"/>
      <c r="B157" s="27"/>
      <c r="C157" s="27"/>
      <c r="D157" s="27"/>
      <c r="E157" s="27"/>
      <c r="F157" s="27"/>
      <c r="G157" s="27"/>
      <c r="H157" s="39"/>
      <c r="I157" s="18"/>
      <c r="J157" s="18"/>
    </row>
    <row r="158" spans="1:10" ht="11.25">
      <c r="A158" s="24"/>
      <c r="B158" s="27"/>
      <c r="C158" s="27"/>
      <c r="D158" s="27"/>
      <c r="E158" s="27"/>
      <c r="F158" s="27"/>
      <c r="G158" s="27"/>
      <c r="H158" s="39"/>
      <c r="I158" s="18"/>
      <c r="J158" s="18"/>
    </row>
    <row r="159" spans="1:10" ht="11.25">
      <c r="A159" s="24"/>
      <c r="B159" s="27"/>
      <c r="C159" s="27"/>
      <c r="D159" s="27"/>
      <c r="E159" s="27"/>
      <c r="F159" s="27"/>
      <c r="G159" s="26"/>
      <c r="H159" s="39"/>
      <c r="I159" s="18"/>
      <c r="J159" s="18"/>
    </row>
    <row r="160" spans="1:10" ht="11.25">
      <c r="A160" s="24"/>
      <c r="B160" s="24"/>
      <c r="C160" s="27"/>
      <c r="D160" s="27"/>
      <c r="E160" s="27"/>
      <c r="F160" s="27"/>
      <c r="G160" s="27"/>
      <c r="H160" s="39"/>
      <c r="I160" s="18"/>
      <c r="J160" s="18"/>
    </row>
    <row r="161" spans="1:10" ht="11.25">
      <c r="A161" s="24"/>
      <c r="B161" s="27"/>
      <c r="C161" s="27"/>
      <c r="D161" s="27"/>
      <c r="E161" s="27"/>
      <c r="F161" s="27"/>
      <c r="G161" s="27"/>
      <c r="H161" s="39"/>
      <c r="I161" s="18"/>
      <c r="J161" s="18"/>
    </row>
    <row r="162" spans="1:10" ht="11.25">
      <c r="A162" s="24"/>
      <c r="B162" s="27"/>
      <c r="C162" s="27"/>
      <c r="D162" s="27"/>
      <c r="E162" s="27"/>
      <c r="F162" s="27"/>
      <c r="G162" s="27"/>
      <c r="H162" s="39"/>
      <c r="I162" s="18"/>
      <c r="J162" s="18"/>
    </row>
    <row r="163" spans="1:10" ht="11.25">
      <c r="A163" s="24"/>
      <c r="B163" s="40"/>
      <c r="C163" s="27"/>
      <c r="D163" s="27"/>
      <c r="E163" s="27"/>
      <c r="F163" s="27"/>
      <c r="G163" s="27"/>
      <c r="H163" s="39"/>
      <c r="I163" s="18"/>
      <c r="J163" s="18"/>
    </row>
    <row r="164" spans="1:10" ht="11.25">
      <c r="A164" s="24"/>
      <c r="B164" s="27"/>
      <c r="C164" s="27"/>
      <c r="D164" s="27"/>
      <c r="E164" s="27"/>
      <c r="F164" s="27"/>
      <c r="G164" s="27"/>
      <c r="H164" s="39"/>
      <c r="I164" s="18"/>
      <c r="J164" s="18"/>
    </row>
    <row r="165" spans="1:10" ht="11.25">
      <c r="A165" s="24"/>
      <c r="B165" s="27"/>
      <c r="C165" s="27"/>
      <c r="D165" s="27"/>
      <c r="E165" s="27"/>
      <c r="F165" s="27"/>
      <c r="G165" s="27"/>
      <c r="H165" s="39"/>
      <c r="I165" s="18"/>
      <c r="J165" s="18"/>
    </row>
    <row r="166" spans="1:10" ht="11.25">
      <c r="A166" s="24"/>
      <c r="B166" s="40"/>
      <c r="C166" s="27"/>
      <c r="D166" s="27"/>
      <c r="E166" s="27"/>
      <c r="F166" s="27"/>
      <c r="G166" s="27"/>
      <c r="H166" s="39"/>
      <c r="I166" s="18"/>
      <c r="J166" s="18"/>
    </row>
    <row r="167" spans="1:10" ht="11.25">
      <c r="A167" s="24"/>
      <c r="B167" s="27"/>
      <c r="C167" s="27"/>
      <c r="D167" s="27"/>
      <c r="E167" s="27"/>
      <c r="F167" s="27"/>
      <c r="G167" s="24"/>
      <c r="H167" s="39"/>
      <c r="I167" s="18"/>
      <c r="J167" s="18"/>
    </row>
    <row r="168" spans="1:10" ht="11.25">
      <c r="A168" s="24"/>
      <c r="B168" s="27"/>
      <c r="C168" s="27"/>
      <c r="D168" s="27"/>
      <c r="E168" s="27"/>
      <c r="F168" s="27"/>
      <c r="G168" s="27"/>
      <c r="H168" s="39"/>
      <c r="I168" s="18"/>
      <c r="J168" s="18"/>
    </row>
    <row r="169" spans="1:10" ht="11.25">
      <c r="A169" s="24"/>
      <c r="B169" s="27"/>
      <c r="C169" s="27"/>
      <c r="D169" s="27"/>
      <c r="E169" s="27"/>
      <c r="F169" s="27"/>
      <c r="G169" s="27"/>
      <c r="H169" s="39"/>
      <c r="I169" s="18"/>
      <c r="J169" s="18"/>
    </row>
    <row r="170" spans="1:10" ht="11.25">
      <c r="A170" s="24"/>
      <c r="B170" s="24"/>
      <c r="C170" s="27"/>
      <c r="D170" s="27"/>
      <c r="E170" s="27"/>
      <c r="F170" s="27"/>
      <c r="G170" s="27"/>
      <c r="H170" s="39"/>
      <c r="I170" s="18"/>
      <c r="J170" s="18"/>
    </row>
    <row r="171" spans="1:10" ht="11.25">
      <c r="A171" s="24"/>
      <c r="B171" s="41"/>
      <c r="C171" s="39"/>
      <c r="D171" s="39"/>
      <c r="E171" s="39"/>
      <c r="F171" s="39"/>
      <c r="G171" s="41"/>
      <c r="H171" s="39"/>
      <c r="I171" s="18"/>
      <c r="J171" s="18"/>
    </row>
    <row r="172" spans="1:8" ht="11.25">
      <c r="A172" s="24"/>
      <c r="B172" s="24"/>
      <c r="C172" s="24"/>
      <c r="D172" s="24"/>
      <c r="E172" s="24"/>
      <c r="F172" s="24"/>
      <c r="G172" s="24"/>
      <c r="H172" s="24"/>
    </row>
    <row r="173" spans="1:8" ht="11.25">
      <c r="A173" s="24"/>
      <c r="B173" s="24"/>
      <c r="C173" s="24"/>
      <c r="D173" s="24"/>
      <c r="E173" s="24"/>
      <c r="F173" s="24"/>
      <c r="G173" s="24"/>
      <c r="H173" s="24"/>
    </row>
    <row r="174" spans="1:8" ht="11.25">
      <c r="A174" s="24"/>
      <c r="B174" s="24"/>
      <c r="C174" s="24"/>
      <c r="D174" s="24"/>
      <c r="E174" s="24"/>
      <c r="F174" s="24"/>
      <c r="G174" s="24"/>
      <c r="H174" s="24"/>
    </row>
    <row r="175" spans="1:8" ht="11.25">
      <c r="A175" s="24"/>
      <c r="B175" s="24"/>
      <c r="C175" s="24"/>
      <c r="D175" s="24"/>
      <c r="E175" s="24"/>
      <c r="F175" s="24"/>
      <c r="G175" s="24"/>
      <c r="H175" s="24"/>
    </row>
    <row r="176" spans="1:8" ht="11.25">
      <c r="A176" s="24"/>
      <c r="B176" s="24"/>
      <c r="C176" s="24"/>
      <c r="D176" s="24"/>
      <c r="E176" s="24"/>
      <c r="F176" s="24"/>
      <c r="G176" s="24"/>
      <c r="H176" s="24"/>
    </row>
    <row r="177" spans="1:8" ht="11.25">
      <c r="A177" s="24"/>
      <c r="B177" s="24"/>
      <c r="C177" s="24"/>
      <c r="D177" s="24"/>
      <c r="E177" s="24"/>
      <c r="F177" s="24"/>
      <c r="G177" s="24"/>
      <c r="H177" s="24"/>
    </row>
    <row r="178" spans="1:8" ht="11.25">
      <c r="A178" s="24"/>
      <c r="B178" s="24"/>
      <c r="C178" s="24"/>
      <c r="D178" s="24"/>
      <c r="E178" s="24"/>
      <c r="F178" s="24"/>
      <c r="G178" s="24"/>
      <c r="H178" s="24"/>
    </row>
    <row r="179" spans="1:8" ht="11.25">
      <c r="A179" s="24"/>
      <c r="B179" s="24"/>
      <c r="C179" s="24"/>
      <c r="D179" s="24"/>
      <c r="E179" s="24"/>
      <c r="F179" s="24"/>
      <c r="G179" s="24"/>
      <c r="H179" s="24"/>
    </row>
    <row r="180" spans="1:8" ht="11.25">
      <c r="A180" s="24"/>
      <c r="B180" s="24"/>
      <c r="C180" s="24"/>
      <c r="D180" s="24"/>
      <c r="E180" s="24"/>
      <c r="F180" s="24"/>
      <c r="G180" s="24"/>
      <c r="H180" s="24"/>
    </row>
    <row r="181" spans="1:8" ht="11.25">
      <c r="A181" s="24"/>
      <c r="B181" s="24"/>
      <c r="C181" s="24"/>
      <c r="D181" s="24"/>
      <c r="E181" s="24"/>
      <c r="F181" s="24"/>
      <c r="G181" s="24"/>
      <c r="H181" s="24"/>
    </row>
    <row r="182" spans="1:8" ht="11.25">
      <c r="A182" s="24"/>
      <c r="B182" s="24"/>
      <c r="C182" s="24"/>
      <c r="D182" s="24"/>
      <c r="E182" s="24"/>
      <c r="F182" s="24"/>
      <c r="G182" s="24"/>
      <c r="H182" s="24"/>
    </row>
    <row r="183" spans="1:8" ht="11.25">
      <c r="A183" s="24"/>
      <c r="B183" s="24"/>
      <c r="C183" s="24"/>
      <c r="D183" s="24"/>
      <c r="E183" s="24"/>
      <c r="F183" s="24"/>
      <c r="G183" s="24"/>
      <c r="H183" s="24"/>
    </row>
    <row r="184" spans="1:8" ht="11.25">
      <c r="A184" s="24"/>
      <c r="B184" s="24"/>
      <c r="C184" s="24"/>
      <c r="D184" s="24"/>
      <c r="E184" s="24"/>
      <c r="F184" s="24"/>
      <c r="G184" s="24"/>
      <c r="H184" s="24"/>
    </row>
    <row r="185" spans="1:8" ht="11.25">
      <c r="A185" s="24"/>
      <c r="B185" s="24"/>
      <c r="C185" s="24"/>
      <c r="D185" s="24"/>
      <c r="E185" s="24"/>
      <c r="F185" s="24"/>
      <c r="G185" s="24"/>
      <c r="H185" s="24"/>
    </row>
    <row r="186" spans="1:8" ht="11.25">
      <c r="A186" s="24"/>
      <c r="B186" s="24"/>
      <c r="C186" s="24"/>
      <c r="D186" s="24"/>
      <c r="E186" s="24"/>
      <c r="F186" s="24"/>
      <c r="G186" s="24"/>
      <c r="H186" s="24"/>
    </row>
    <row r="187" spans="1:8" ht="11.25">
      <c r="A187" s="24"/>
      <c r="B187" s="24"/>
      <c r="C187" s="24"/>
      <c r="D187" s="24"/>
      <c r="E187" s="24"/>
      <c r="F187" s="24"/>
      <c r="G187" s="24"/>
      <c r="H187" s="24"/>
    </row>
    <row r="188" spans="1:8" ht="11.25">
      <c r="A188" s="24"/>
      <c r="B188" s="24"/>
      <c r="C188" s="24"/>
      <c r="D188" s="24"/>
      <c r="E188" s="24"/>
      <c r="F188" s="24"/>
      <c r="G188" s="24"/>
      <c r="H188" s="24"/>
    </row>
    <row r="189" spans="1:8" ht="11.25">
      <c r="A189" s="24"/>
      <c r="B189" s="24"/>
      <c r="C189" s="24"/>
      <c r="D189" s="24"/>
      <c r="E189" s="24"/>
      <c r="F189" s="24"/>
      <c r="G189" s="24"/>
      <c r="H189" s="24"/>
    </row>
    <row r="190" spans="1:8" ht="11.25">
      <c r="A190" s="24"/>
      <c r="B190" s="24"/>
      <c r="C190" s="24"/>
      <c r="D190" s="24"/>
      <c r="E190" s="24"/>
      <c r="F190" s="24"/>
      <c r="G190" s="24"/>
      <c r="H190" s="24"/>
    </row>
    <row r="191" spans="1:8" ht="11.25">
      <c r="A191" s="24"/>
      <c r="B191" s="24"/>
      <c r="C191" s="24"/>
      <c r="D191" s="24"/>
      <c r="E191" s="24"/>
      <c r="F191" s="24"/>
      <c r="G191" s="24"/>
      <c r="H191" s="24"/>
    </row>
    <row r="192" spans="1:8" ht="11.25">
      <c r="A192" s="24"/>
      <c r="B192" s="24"/>
      <c r="C192" s="24"/>
      <c r="D192" s="24"/>
      <c r="E192" s="24"/>
      <c r="F192" s="24"/>
      <c r="G192" s="24"/>
      <c r="H192" s="24"/>
    </row>
    <row r="193" spans="1:8" ht="11.25">
      <c r="A193" s="24"/>
      <c r="B193" s="24"/>
      <c r="C193" s="24"/>
      <c r="D193" s="24"/>
      <c r="E193" s="24"/>
      <c r="F193" s="24"/>
      <c r="G193" s="24"/>
      <c r="H193" s="24"/>
    </row>
    <row r="194" spans="1:8" ht="11.25">
      <c r="A194" s="24"/>
      <c r="B194" s="24"/>
      <c r="C194" s="24"/>
      <c r="D194" s="24"/>
      <c r="E194" s="24"/>
      <c r="F194" s="24"/>
      <c r="G194" s="24"/>
      <c r="H194" s="24"/>
    </row>
    <row r="195" spans="1:8" ht="11.25">
      <c r="A195" s="24"/>
      <c r="B195" s="24"/>
      <c r="C195" s="24"/>
      <c r="D195" s="24"/>
      <c r="E195" s="24"/>
      <c r="F195" s="24"/>
      <c r="G195" s="24"/>
      <c r="H195" s="24"/>
    </row>
    <row r="196" spans="1:8" ht="11.25">
      <c r="A196" s="24"/>
      <c r="B196" s="24"/>
      <c r="C196" s="24"/>
      <c r="D196" s="24"/>
      <c r="E196" s="24"/>
      <c r="F196" s="24"/>
      <c r="G196" s="24"/>
      <c r="H196" s="24"/>
    </row>
    <row r="197" spans="1:8" ht="11.25">
      <c r="A197" s="24"/>
      <c r="B197" s="24"/>
      <c r="C197" s="24"/>
      <c r="D197" s="24"/>
      <c r="E197" s="24"/>
      <c r="F197" s="24"/>
      <c r="G197" s="24"/>
      <c r="H197" s="24"/>
    </row>
    <row r="198" spans="1:8" ht="11.25">
      <c r="A198" s="24"/>
      <c r="B198" s="24"/>
      <c r="C198" s="24"/>
      <c r="D198" s="24"/>
      <c r="E198" s="24"/>
      <c r="F198" s="24"/>
      <c r="G198" s="24"/>
      <c r="H198" s="24"/>
    </row>
    <row r="199" spans="1:8" ht="11.25">
      <c r="A199" s="24"/>
      <c r="B199" s="24"/>
      <c r="C199" s="24"/>
      <c r="D199" s="24"/>
      <c r="E199" s="24"/>
      <c r="F199" s="24"/>
      <c r="G199" s="24"/>
      <c r="H199" s="24"/>
    </row>
    <row r="200" spans="1:8" ht="11.25">
      <c r="A200" s="24"/>
      <c r="B200" s="24"/>
      <c r="C200" s="24"/>
      <c r="D200" s="24"/>
      <c r="E200" s="24"/>
      <c r="F200" s="24"/>
      <c r="G200" s="24"/>
      <c r="H200" s="24"/>
    </row>
    <row r="201" spans="1:8" ht="11.25">
      <c r="A201" s="24"/>
      <c r="B201" s="24"/>
      <c r="C201" s="24"/>
      <c r="D201" s="24"/>
      <c r="E201" s="24"/>
      <c r="F201" s="24"/>
      <c r="G201" s="24"/>
      <c r="H201" s="24"/>
    </row>
    <row r="202" spans="1:8" ht="11.25">
      <c r="A202" s="24"/>
      <c r="B202" s="24"/>
      <c r="C202" s="24"/>
      <c r="D202" s="24"/>
      <c r="E202" s="24"/>
      <c r="F202" s="24"/>
      <c r="G202" s="24"/>
      <c r="H202" s="24"/>
    </row>
    <row r="203" spans="1:8" ht="11.25">
      <c r="A203" s="24"/>
      <c r="B203" s="24"/>
      <c r="C203" s="24"/>
      <c r="D203" s="24"/>
      <c r="E203" s="24"/>
      <c r="F203" s="24"/>
      <c r="G203" s="24"/>
      <c r="H203" s="24"/>
    </row>
    <row r="204" spans="1:8" ht="11.25">
      <c r="A204" s="24"/>
      <c r="B204" s="24"/>
      <c r="C204" s="24"/>
      <c r="D204" s="24"/>
      <c r="E204" s="24"/>
      <c r="F204" s="24"/>
      <c r="G204" s="24"/>
      <c r="H204" s="24"/>
    </row>
    <row r="205" spans="1:8" ht="11.25">
      <c r="A205" s="24"/>
      <c r="B205" s="24"/>
      <c r="C205" s="24"/>
      <c r="D205" s="24"/>
      <c r="E205" s="24"/>
      <c r="F205" s="24"/>
      <c r="G205" s="24"/>
      <c r="H205" s="24"/>
    </row>
    <row r="206" spans="1:8" ht="11.25">
      <c r="A206" s="24"/>
      <c r="B206" s="24"/>
      <c r="C206" s="24"/>
      <c r="D206" s="24"/>
      <c r="E206" s="24"/>
      <c r="F206" s="24"/>
      <c r="G206" s="24"/>
      <c r="H206" s="24"/>
    </row>
    <row r="207" spans="1:8" ht="11.25">
      <c r="A207" s="24"/>
      <c r="B207" s="24"/>
      <c r="C207" s="24"/>
      <c r="D207" s="24"/>
      <c r="E207" s="24"/>
      <c r="F207" s="24"/>
      <c r="G207" s="24"/>
      <c r="H207" s="24"/>
    </row>
    <row r="208" spans="1:8" ht="11.25">
      <c r="A208" s="24"/>
      <c r="B208" s="24"/>
      <c r="C208" s="24"/>
      <c r="D208" s="24"/>
      <c r="E208" s="24"/>
      <c r="F208" s="24"/>
      <c r="G208" s="24"/>
      <c r="H208" s="24"/>
    </row>
    <row r="209" spans="1:8" ht="11.25">
      <c r="A209" s="24"/>
      <c r="B209" s="24"/>
      <c r="C209" s="24"/>
      <c r="D209" s="24"/>
      <c r="E209" s="24"/>
      <c r="F209" s="24"/>
      <c r="G209" s="24"/>
      <c r="H209" s="24"/>
    </row>
    <row r="210" spans="1:8" ht="11.25">
      <c r="A210" s="24"/>
      <c r="B210" s="24"/>
      <c r="C210" s="24"/>
      <c r="D210" s="24"/>
      <c r="E210" s="24"/>
      <c r="F210" s="24"/>
      <c r="G210" s="24"/>
      <c r="H210" s="24"/>
    </row>
    <row r="211" spans="1:8" ht="11.25">
      <c r="A211" s="24"/>
      <c r="B211" s="24"/>
      <c r="C211" s="24"/>
      <c r="D211" s="24"/>
      <c r="E211" s="24"/>
      <c r="F211" s="24"/>
      <c r="G211" s="24"/>
      <c r="H211" s="24"/>
    </row>
    <row r="212" spans="1:8" ht="11.25">
      <c r="A212" s="24"/>
      <c r="B212" s="24"/>
      <c r="C212" s="24"/>
      <c r="D212" s="24"/>
      <c r="E212" s="24"/>
      <c r="F212" s="24"/>
      <c r="G212" s="24"/>
      <c r="H212" s="24"/>
    </row>
    <row r="213" spans="1:8" ht="11.25">
      <c r="A213" s="24"/>
      <c r="B213" s="24"/>
      <c r="C213" s="24"/>
      <c r="D213" s="24"/>
      <c r="E213" s="24"/>
      <c r="F213" s="24"/>
      <c r="G213" s="24"/>
      <c r="H213" s="24"/>
    </row>
    <row r="214" spans="1:8" ht="11.25">
      <c r="A214" s="24"/>
      <c r="B214" s="24"/>
      <c r="C214" s="24"/>
      <c r="D214" s="24"/>
      <c r="E214" s="24"/>
      <c r="F214" s="24"/>
      <c r="G214" s="24"/>
      <c r="H214" s="24"/>
    </row>
    <row r="215" spans="1:8" ht="11.25">
      <c r="A215" s="24"/>
      <c r="B215" s="24"/>
      <c r="C215" s="24"/>
      <c r="D215" s="24"/>
      <c r="E215" s="24"/>
      <c r="F215" s="24"/>
      <c r="G215" s="24"/>
      <c r="H215" s="24"/>
    </row>
    <row r="216" spans="1:8" ht="11.25">
      <c r="A216" s="24"/>
      <c r="B216" s="24"/>
      <c r="C216" s="24"/>
      <c r="D216" s="24"/>
      <c r="E216" s="24"/>
      <c r="F216" s="24"/>
      <c r="G216" s="24"/>
      <c r="H216" s="24"/>
    </row>
    <row r="217" spans="1:8" ht="11.25">
      <c r="A217" s="24"/>
      <c r="B217" s="24"/>
      <c r="C217" s="24"/>
      <c r="D217" s="24"/>
      <c r="E217" s="24"/>
      <c r="F217" s="24"/>
      <c r="G217" s="24"/>
      <c r="H217" s="24"/>
    </row>
    <row r="218" spans="1:8" ht="11.25">
      <c r="A218" s="24"/>
      <c r="B218" s="24"/>
      <c r="C218" s="24"/>
      <c r="D218" s="24"/>
      <c r="E218" s="24"/>
      <c r="F218" s="24"/>
      <c r="G218" s="24"/>
      <c r="H218" s="24"/>
    </row>
    <row r="219" spans="1:8" ht="11.25">
      <c r="A219" s="24"/>
      <c r="B219" s="24"/>
      <c r="C219" s="24"/>
      <c r="D219" s="24"/>
      <c r="E219" s="24"/>
      <c r="F219" s="24"/>
      <c r="G219" s="24"/>
      <c r="H219" s="24"/>
    </row>
    <row r="220" spans="1:8" ht="11.25">
      <c r="A220" s="24"/>
      <c r="B220" s="24"/>
      <c r="C220" s="24"/>
      <c r="D220" s="24"/>
      <c r="E220" s="24"/>
      <c r="F220" s="24"/>
      <c r="G220" s="24"/>
      <c r="H220" s="24"/>
    </row>
    <row r="221" spans="1:8" ht="11.25">
      <c r="A221" s="24"/>
      <c r="B221" s="24"/>
      <c r="C221" s="24"/>
      <c r="D221" s="24"/>
      <c r="E221" s="24"/>
      <c r="F221" s="24"/>
      <c r="G221" s="24"/>
      <c r="H221" s="24"/>
    </row>
    <row r="222" spans="1:8" ht="11.25">
      <c r="A222" s="24"/>
      <c r="B222" s="24"/>
      <c r="C222" s="24"/>
      <c r="D222" s="24"/>
      <c r="E222" s="24"/>
      <c r="F222" s="24"/>
      <c r="G222" s="24"/>
      <c r="H222" s="24"/>
    </row>
    <row r="223" spans="1:8" ht="11.25">
      <c r="A223" s="24"/>
      <c r="B223" s="24"/>
      <c r="C223" s="24"/>
      <c r="D223" s="24"/>
      <c r="E223" s="24"/>
      <c r="F223" s="24"/>
      <c r="G223" s="24"/>
      <c r="H223" s="24"/>
    </row>
    <row r="224" spans="1:8" ht="11.25">
      <c r="A224" s="24"/>
      <c r="B224" s="24"/>
      <c r="C224" s="24"/>
      <c r="D224" s="24"/>
      <c r="E224" s="24"/>
      <c r="F224" s="24"/>
      <c r="G224" s="24"/>
      <c r="H224" s="24"/>
    </row>
    <row r="225" spans="1:8" ht="11.25">
      <c r="A225" s="24"/>
      <c r="B225" s="24"/>
      <c r="C225" s="24"/>
      <c r="D225" s="24"/>
      <c r="E225" s="24"/>
      <c r="F225" s="24"/>
      <c r="G225" s="24"/>
      <c r="H225" s="24"/>
    </row>
    <row r="226" spans="1:8" ht="11.25">
      <c r="A226" s="24"/>
      <c r="B226" s="24"/>
      <c r="C226" s="24"/>
      <c r="D226" s="24"/>
      <c r="E226" s="24"/>
      <c r="F226" s="24"/>
      <c r="G226" s="24"/>
      <c r="H226" s="24"/>
    </row>
    <row r="227" spans="1:8" ht="11.25">
      <c r="A227" s="24"/>
      <c r="B227" s="24"/>
      <c r="C227" s="24"/>
      <c r="D227" s="24"/>
      <c r="E227" s="24"/>
      <c r="F227" s="24"/>
      <c r="G227" s="24"/>
      <c r="H227" s="24"/>
    </row>
    <row r="228" spans="1:8" ht="11.25">
      <c r="A228" s="24"/>
      <c r="B228" s="24"/>
      <c r="C228" s="24"/>
      <c r="D228" s="24"/>
      <c r="E228" s="24"/>
      <c r="F228" s="24"/>
      <c r="G228" s="24"/>
      <c r="H228" s="24"/>
    </row>
    <row r="229" spans="1:8" ht="11.25">
      <c r="A229" s="24"/>
      <c r="B229" s="24"/>
      <c r="C229" s="24"/>
      <c r="D229" s="24"/>
      <c r="E229" s="24"/>
      <c r="F229" s="24"/>
      <c r="G229" s="24"/>
      <c r="H229" s="24"/>
    </row>
    <row r="230" spans="1:8" ht="11.25">
      <c r="A230" s="24"/>
      <c r="B230" s="24"/>
      <c r="C230" s="24"/>
      <c r="D230" s="24"/>
      <c r="E230" s="24"/>
      <c r="F230" s="24"/>
      <c r="G230" s="24"/>
      <c r="H230" s="24"/>
    </row>
    <row r="231" spans="1:8" ht="11.25">
      <c r="A231" s="24"/>
      <c r="B231" s="24"/>
      <c r="C231" s="24"/>
      <c r="D231" s="24"/>
      <c r="E231" s="24"/>
      <c r="F231" s="24"/>
      <c r="G231" s="24"/>
      <c r="H231" s="24"/>
    </row>
    <row r="232" spans="1:8" ht="11.25">
      <c r="A232" s="24"/>
      <c r="B232" s="24"/>
      <c r="C232" s="24"/>
      <c r="D232" s="24"/>
      <c r="E232" s="24"/>
      <c r="F232" s="24"/>
      <c r="G232" s="24"/>
      <c r="H232" s="24"/>
    </row>
    <row r="233" spans="1:8" ht="11.25">
      <c r="A233" s="24"/>
      <c r="B233" s="24"/>
      <c r="C233" s="24"/>
      <c r="D233" s="24"/>
      <c r="E233" s="24"/>
      <c r="F233" s="24"/>
      <c r="G233" s="24"/>
      <c r="H233" s="24"/>
    </row>
    <row r="234" spans="1:8" ht="11.25">
      <c r="A234" s="24"/>
      <c r="B234" s="24"/>
      <c r="C234" s="24"/>
      <c r="D234" s="24"/>
      <c r="E234" s="24"/>
      <c r="F234" s="24"/>
      <c r="G234" s="24"/>
      <c r="H234" s="24"/>
    </row>
    <row r="235" spans="1:8" ht="11.25">
      <c r="A235" s="24"/>
      <c r="B235" s="24"/>
      <c r="C235" s="24"/>
      <c r="D235" s="24"/>
      <c r="E235" s="24"/>
      <c r="F235" s="24"/>
      <c r="G235" s="24"/>
      <c r="H235" s="24"/>
    </row>
    <row r="236" spans="1:8" ht="11.25">
      <c r="A236" s="24"/>
      <c r="B236" s="24"/>
      <c r="C236" s="24"/>
      <c r="D236" s="24"/>
      <c r="E236" s="24"/>
      <c r="F236" s="24"/>
      <c r="G236" s="24"/>
      <c r="H236" s="24"/>
    </row>
    <row r="237" spans="1:8" ht="11.25">
      <c r="A237" s="24"/>
      <c r="B237" s="24"/>
      <c r="C237" s="24"/>
      <c r="D237" s="24"/>
      <c r="E237" s="24"/>
      <c r="F237" s="24"/>
      <c r="G237" s="24"/>
      <c r="H237" s="24"/>
    </row>
    <row r="238" spans="1:8" ht="11.25">
      <c r="A238" s="24"/>
      <c r="B238" s="24"/>
      <c r="C238" s="24"/>
      <c r="D238" s="24"/>
      <c r="E238" s="24"/>
      <c r="F238" s="24"/>
      <c r="G238" s="24"/>
      <c r="H238" s="24"/>
    </row>
    <row r="239" spans="1:8" ht="11.25">
      <c r="A239" s="24"/>
      <c r="B239" s="24"/>
      <c r="C239" s="24"/>
      <c r="D239" s="24"/>
      <c r="E239" s="24"/>
      <c r="F239" s="24"/>
      <c r="G239" s="24"/>
      <c r="H239" s="24"/>
    </row>
    <row r="240" spans="1:8" ht="11.25">
      <c r="A240" s="24"/>
      <c r="B240" s="24"/>
      <c r="C240" s="24"/>
      <c r="D240" s="24"/>
      <c r="E240" s="24"/>
      <c r="F240" s="24"/>
      <c r="G240" s="24"/>
      <c r="H240" s="24"/>
    </row>
    <row r="241" spans="1:8" ht="11.25">
      <c r="A241" s="24"/>
      <c r="B241" s="24"/>
      <c r="C241" s="24"/>
      <c r="D241" s="24"/>
      <c r="E241" s="24"/>
      <c r="F241" s="24"/>
      <c r="G241" s="24"/>
      <c r="H241" s="24"/>
    </row>
    <row r="242" spans="1:8" ht="11.25">
      <c r="A242" s="24"/>
      <c r="B242" s="24"/>
      <c r="C242" s="24"/>
      <c r="D242" s="24"/>
      <c r="E242" s="24"/>
      <c r="F242" s="24"/>
      <c r="G242" s="24"/>
      <c r="H242" s="24"/>
    </row>
    <row r="243" spans="1:8" ht="11.25">
      <c r="A243" s="24"/>
      <c r="B243" s="24"/>
      <c r="C243" s="24"/>
      <c r="D243" s="24"/>
      <c r="E243" s="24"/>
      <c r="F243" s="24"/>
      <c r="G243" s="24"/>
      <c r="H243" s="24"/>
    </row>
    <row r="244" spans="1:8" ht="11.25">
      <c r="A244" s="24"/>
      <c r="B244" s="24"/>
      <c r="C244" s="24"/>
      <c r="D244" s="24"/>
      <c r="E244" s="24"/>
      <c r="F244" s="24"/>
      <c r="G244" s="24"/>
      <c r="H244" s="24"/>
    </row>
    <row r="245" spans="1:8" ht="11.25">
      <c r="A245" s="24"/>
      <c r="B245" s="24"/>
      <c r="C245" s="24"/>
      <c r="D245" s="24"/>
      <c r="E245" s="24"/>
      <c r="F245" s="24"/>
      <c r="G245" s="24"/>
      <c r="H245" s="24"/>
    </row>
    <row r="246" spans="1:8" ht="11.25">
      <c r="A246" s="24"/>
      <c r="B246" s="24"/>
      <c r="C246" s="24"/>
      <c r="D246" s="24"/>
      <c r="E246" s="24"/>
      <c r="F246" s="24"/>
      <c r="G246" s="24"/>
      <c r="H246" s="24"/>
    </row>
    <row r="247" spans="1:8" ht="11.25">
      <c r="A247" s="24"/>
      <c r="B247" s="24"/>
      <c r="C247" s="24"/>
      <c r="D247" s="24"/>
      <c r="E247" s="24"/>
      <c r="F247" s="24"/>
      <c r="G247" s="24"/>
      <c r="H247" s="24"/>
    </row>
    <row r="248" spans="1:8" ht="11.25">
      <c r="A248" s="24"/>
      <c r="B248" s="24"/>
      <c r="C248" s="24"/>
      <c r="D248" s="24"/>
      <c r="E248" s="24"/>
      <c r="F248" s="24"/>
      <c r="G248" s="24"/>
      <c r="H248" s="24"/>
    </row>
    <row r="249" spans="1:8" ht="11.25">
      <c r="A249" s="24"/>
      <c r="B249" s="24"/>
      <c r="C249" s="24"/>
      <c r="D249" s="24"/>
      <c r="E249" s="24"/>
      <c r="F249" s="24"/>
      <c r="G249" s="24"/>
      <c r="H249" s="24"/>
    </row>
    <row r="250" spans="1:8" ht="11.25">
      <c r="A250" s="24"/>
      <c r="B250" s="24"/>
      <c r="C250" s="24"/>
      <c r="D250" s="24"/>
      <c r="E250" s="24"/>
      <c r="F250" s="24"/>
      <c r="G250" s="24"/>
      <c r="H250" s="24"/>
    </row>
    <row r="251" spans="1:8" ht="11.25">
      <c r="A251" s="24"/>
      <c r="B251" s="24"/>
      <c r="C251" s="24"/>
      <c r="D251" s="24"/>
      <c r="E251" s="24"/>
      <c r="F251" s="24"/>
      <c r="G251" s="24"/>
      <c r="H251" s="24"/>
    </row>
    <row r="252" spans="1:8" ht="11.25">
      <c r="A252" s="24"/>
      <c r="B252" s="24"/>
      <c r="C252" s="24"/>
      <c r="D252" s="24"/>
      <c r="E252" s="24"/>
      <c r="F252" s="24"/>
      <c r="G252" s="24"/>
      <c r="H252" s="24"/>
    </row>
    <row r="253" spans="1:8" ht="11.25">
      <c r="A253" s="24"/>
      <c r="B253" s="24"/>
      <c r="C253" s="24"/>
      <c r="D253" s="24"/>
      <c r="E253" s="24"/>
      <c r="F253" s="24"/>
      <c r="G253" s="24"/>
      <c r="H253" s="24"/>
    </row>
    <row r="254" spans="1:8" ht="11.25">
      <c r="A254" s="24"/>
      <c r="B254" s="24"/>
      <c r="C254" s="24"/>
      <c r="D254" s="24"/>
      <c r="E254" s="24"/>
      <c r="F254" s="24"/>
      <c r="G254" s="24"/>
      <c r="H254" s="24"/>
    </row>
    <row r="255" spans="1:8" ht="11.25">
      <c r="A255" s="24"/>
      <c r="B255" s="24"/>
      <c r="C255" s="24"/>
      <c r="D255" s="24"/>
      <c r="E255" s="24"/>
      <c r="F255" s="24"/>
      <c r="G255" s="24"/>
      <c r="H255" s="24"/>
    </row>
    <row r="256" spans="1:8" ht="11.25">
      <c r="A256" s="24"/>
      <c r="B256" s="24"/>
      <c r="C256" s="24"/>
      <c r="D256" s="24"/>
      <c r="E256" s="24"/>
      <c r="F256" s="24"/>
      <c r="G256" s="24"/>
      <c r="H256" s="24"/>
    </row>
    <row r="257" spans="1:8" ht="11.25">
      <c r="A257" s="24"/>
      <c r="B257" s="24"/>
      <c r="C257" s="24"/>
      <c r="D257" s="24"/>
      <c r="E257" s="24"/>
      <c r="F257" s="24"/>
      <c r="G257" s="24"/>
      <c r="H257" s="24"/>
    </row>
    <row r="258" spans="1:8" ht="11.25">
      <c r="A258" s="24"/>
      <c r="B258" s="24"/>
      <c r="C258" s="24"/>
      <c r="D258" s="24"/>
      <c r="E258" s="24"/>
      <c r="F258" s="24"/>
      <c r="G258" s="24"/>
      <c r="H258" s="24"/>
    </row>
    <row r="259" spans="1:8" ht="11.25">
      <c r="A259" s="24"/>
      <c r="B259" s="24"/>
      <c r="C259" s="24"/>
      <c r="D259" s="24"/>
      <c r="E259" s="24"/>
      <c r="F259" s="24"/>
      <c r="G259" s="24"/>
      <c r="H259" s="24"/>
    </row>
    <row r="260" spans="1:8" ht="11.25">
      <c r="A260" s="24"/>
      <c r="B260" s="24"/>
      <c r="C260" s="24"/>
      <c r="D260" s="24"/>
      <c r="E260" s="24"/>
      <c r="F260" s="24"/>
      <c r="G260" s="24"/>
      <c r="H260" s="24"/>
    </row>
    <row r="261" spans="1:8" ht="11.25">
      <c r="A261" s="24"/>
      <c r="B261" s="24"/>
      <c r="C261" s="24"/>
      <c r="D261" s="24"/>
      <c r="E261" s="24"/>
      <c r="F261" s="24"/>
      <c r="G261" s="24"/>
      <c r="H261" s="24"/>
    </row>
    <row r="262" spans="1:8" ht="11.25">
      <c r="A262" s="24"/>
      <c r="B262" s="24"/>
      <c r="C262" s="24"/>
      <c r="D262" s="24"/>
      <c r="E262" s="24"/>
      <c r="F262" s="24"/>
      <c r="G262" s="24"/>
      <c r="H262" s="24"/>
    </row>
    <row r="263" spans="1:8" ht="11.25">
      <c r="A263" s="24"/>
      <c r="B263" s="24"/>
      <c r="C263" s="24"/>
      <c r="D263" s="24"/>
      <c r="E263" s="24"/>
      <c r="F263" s="24"/>
      <c r="G263" s="24"/>
      <c r="H263" s="24"/>
    </row>
    <row r="264" spans="1:8" ht="11.25">
      <c r="A264" s="24"/>
      <c r="B264" s="24"/>
      <c r="C264" s="24"/>
      <c r="D264" s="24"/>
      <c r="E264" s="24"/>
      <c r="F264" s="24"/>
      <c r="G264" s="24"/>
      <c r="H264" s="24"/>
    </row>
    <row r="265" spans="1:8" ht="11.25">
      <c r="A265" s="24"/>
      <c r="B265" s="24"/>
      <c r="C265" s="24"/>
      <c r="D265" s="24"/>
      <c r="E265" s="24"/>
      <c r="F265" s="24"/>
      <c r="G265" s="24"/>
      <c r="H265" s="24"/>
    </row>
    <row r="266" spans="1:8" ht="11.25">
      <c r="A266" s="24"/>
      <c r="B266" s="24"/>
      <c r="C266" s="24"/>
      <c r="D266" s="24"/>
      <c r="E266" s="24"/>
      <c r="F266" s="24"/>
      <c r="G266" s="24"/>
      <c r="H266" s="24"/>
    </row>
    <row r="267" spans="1:8" ht="11.25">
      <c r="A267" s="24"/>
      <c r="B267" s="24"/>
      <c r="C267" s="24"/>
      <c r="D267" s="24"/>
      <c r="E267" s="24"/>
      <c r="F267" s="24"/>
      <c r="G267" s="24"/>
      <c r="H267" s="24"/>
    </row>
    <row r="268" spans="1:8" ht="11.25">
      <c r="A268" s="24"/>
      <c r="B268" s="24"/>
      <c r="C268" s="24"/>
      <c r="D268" s="24"/>
      <c r="E268" s="24"/>
      <c r="F268" s="24"/>
      <c r="G268" s="24"/>
      <c r="H268" s="24"/>
    </row>
    <row r="269" spans="1:8" ht="11.25">
      <c r="A269" s="24"/>
      <c r="B269" s="24"/>
      <c r="C269" s="24"/>
      <c r="D269" s="24"/>
      <c r="E269" s="24"/>
      <c r="F269" s="24"/>
      <c r="G269" s="24"/>
      <c r="H269" s="24"/>
    </row>
    <row r="270" spans="1:8" ht="11.25">
      <c r="A270" s="24"/>
      <c r="B270" s="24"/>
      <c r="C270" s="24"/>
      <c r="D270" s="24"/>
      <c r="E270" s="24"/>
      <c r="F270" s="24"/>
      <c r="G270" s="24"/>
      <c r="H270" s="24"/>
    </row>
    <row r="271" spans="1:8" ht="11.25">
      <c r="A271" s="24"/>
      <c r="B271" s="24"/>
      <c r="C271" s="24"/>
      <c r="D271" s="24"/>
      <c r="E271" s="24"/>
      <c r="F271" s="24"/>
      <c r="G271" s="24"/>
      <c r="H271" s="24"/>
    </row>
    <row r="272" spans="1:8" ht="11.25">
      <c r="A272" s="24"/>
      <c r="B272" s="24"/>
      <c r="C272" s="24"/>
      <c r="D272" s="24"/>
      <c r="E272" s="24"/>
      <c r="F272" s="24"/>
      <c r="G272" s="24"/>
      <c r="H272" s="24"/>
    </row>
    <row r="273" spans="1:8" ht="11.25">
      <c r="A273" s="24"/>
      <c r="B273" s="24"/>
      <c r="C273" s="24"/>
      <c r="D273" s="24"/>
      <c r="E273" s="24"/>
      <c r="F273" s="24"/>
      <c r="G273" s="24"/>
      <c r="H273" s="24"/>
    </row>
    <row r="274" spans="1:8" ht="11.25">
      <c r="A274" s="24"/>
      <c r="B274" s="24"/>
      <c r="C274" s="24"/>
      <c r="D274" s="24"/>
      <c r="E274" s="24"/>
      <c r="F274" s="24"/>
      <c r="G274" s="24"/>
      <c r="H274" s="24"/>
    </row>
    <row r="275" spans="1:8" ht="11.25">
      <c r="A275" s="24"/>
      <c r="B275" s="24"/>
      <c r="C275" s="24"/>
      <c r="D275" s="24"/>
      <c r="E275" s="24"/>
      <c r="F275" s="24"/>
      <c r="G275" s="24"/>
      <c r="H275" s="24"/>
    </row>
    <row r="276" spans="1:8" ht="11.25">
      <c r="A276" s="24"/>
      <c r="B276" s="24"/>
      <c r="C276" s="24"/>
      <c r="D276" s="24"/>
      <c r="E276" s="24"/>
      <c r="F276" s="24"/>
      <c r="G276" s="24"/>
      <c r="H276" s="24"/>
    </row>
    <row r="277" spans="1:8" ht="11.25">
      <c r="A277" s="24"/>
      <c r="B277" s="24"/>
      <c r="C277" s="24"/>
      <c r="D277" s="24"/>
      <c r="E277" s="24"/>
      <c r="F277" s="24"/>
      <c r="G277" s="24"/>
      <c r="H277" s="24"/>
    </row>
    <row r="278" spans="1:8" ht="11.25">
      <c r="A278" s="24"/>
      <c r="B278" s="24"/>
      <c r="C278" s="24"/>
      <c r="D278" s="24"/>
      <c r="E278" s="24"/>
      <c r="F278" s="24"/>
      <c r="G278" s="24"/>
      <c r="H278" s="24"/>
    </row>
    <row r="279" spans="1:8" ht="11.25">
      <c r="A279" s="24"/>
      <c r="B279" s="24"/>
      <c r="C279" s="24"/>
      <c r="D279" s="24"/>
      <c r="E279" s="24"/>
      <c r="F279" s="24"/>
      <c r="G279" s="24"/>
      <c r="H279" s="24"/>
    </row>
    <row r="280" spans="1:8" ht="11.25">
      <c r="A280" s="24"/>
      <c r="B280" s="24"/>
      <c r="C280" s="24"/>
      <c r="D280" s="24"/>
      <c r="E280" s="24"/>
      <c r="F280" s="24"/>
      <c r="G280" s="24"/>
      <c r="H280" s="24"/>
    </row>
    <row r="281" spans="1:8" ht="11.25">
      <c r="A281" s="24"/>
      <c r="B281" s="24"/>
      <c r="C281" s="24"/>
      <c r="D281" s="24"/>
      <c r="E281" s="24"/>
      <c r="F281" s="24"/>
      <c r="G281" s="24"/>
      <c r="H281" s="24"/>
    </row>
    <row r="282" spans="1:8" ht="11.25">
      <c r="A282" s="24"/>
      <c r="B282" s="24"/>
      <c r="C282" s="24"/>
      <c r="D282" s="24"/>
      <c r="E282" s="24"/>
      <c r="F282" s="24"/>
      <c r="G282" s="24"/>
      <c r="H282" s="24"/>
    </row>
    <row r="283" spans="1:8" ht="11.25">
      <c r="A283" s="24"/>
      <c r="B283" s="24"/>
      <c r="C283" s="24"/>
      <c r="D283" s="24"/>
      <c r="E283" s="24"/>
      <c r="F283" s="24"/>
      <c r="G283" s="24"/>
      <c r="H283" s="24"/>
    </row>
    <row r="284" spans="1:8" ht="11.25">
      <c r="A284" s="24"/>
      <c r="B284" s="24"/>
      <c r="C284" s="24"/>
      <c r="D284" s="24"/>
      <c r="E284" s="24"/>
      <c r="F284" s="24"/>
      <c r="G284" s="24"/>
      <c r="H284" s="24"/>
    </row>
    <row r="285" spans="1:8" ht="11.25">
      <c r="A285" s="24"/>
      <c r="B285" s="24"/>
      <c r="C285" s="24"/>
      <c r="D285" s="24"/>
      <c r="E285" s="24"/>
      <c r="F285" s="24"/>
      <c r="G285" s="24"/>
      <c r="H285" s="24"/>
    </row>
    <row r="286" spans="1:8" ht="11.25">
      <c r="A286" s="24"/>
      <c r="B286" s="24"/>
      <c r="C286" s="24"/>
      <c r="D286" s="24"/>
      <c r="E286" s="24"/>
      <c r="F286" s="24"/>
      <c r="G286" s="24"/>
      <c r="H286" s="24"/>
    </row>
    <row r="287" spans="1:8" ht="11.25">
      <c r="A287" s="24"/>
      <c r="B287" s="24"/>
      <c r="C287" s="24"/>
      <c r="D287" s="24"/>
      <c r="E287" s="24"/>
      <c r="F287" s="24"/>
      <c r="G287" s="24"/>
      <c r="H287" s="24"/>
    </row>
    <row r="288" spans="1:8" ht="11.25">
      <c r="A288" s="24"/>
      <c r="B288" s="24"/>
      <c r="C288" s="24"/>
      <c r="D288" s="24"/>
      <c r="E288" s="24"/>
      <c r="F288" s="24"/>
      <c r="G288" s="24"/>
      <c r="H288" s="24"/>
    </row>
    <row r="289" spans="1:8" ht="11.25">
      <c r="A289" s="24"/>
      <c r="B289" s="24"/>
      <c r="C289" s="24"/>
      <c r="D289" s="24"/>
      <c r="E289" s="24"/>
      <c r="F289" s="24"/>
      <c r="G289" s="24"/>
      <c r="H289" s="24"/>
    </row>
    <row r="290" spans="1:8" ht="11.25">
      <c r="A290" s="24"/>
      <c r="B290" s="24"/>
      <c r="C290" s="24"/>
      <c r="D290" s="24"/>
      <c r="E290" s="24"/>
      <c r="F290" s="24"/>
      <c r="G290" s="24"/>
      <c r="H290" s="24"/>
    </row>
    <row r="291" spans="1:8" ht="11.25">
      <c r="A291" s="24"/>
      <c r="B291" s="24"/>
      <c r="C291" s="24"/>
      <c r="D291" s="24"/>
      <c r="E291" s="24"/>
      <c r="F291" s="24"/>
      <c r="G291" s="24"/>
      <c r="H291" s="24"/>
    </row>
    <row r="292" spans="1:8" ht="11.25">
      <c r="A292" s="24"/>
      <c r="B292" s="24"/>
      <c r="C292" s="24"/>
      <c r="D292" s="24"/>
      <c r="E292" s="24"/>
      <c r="F292" s="24"/>
      <c r="G292" s="24"/>
      <c r="H292" s="24"/>
    </row>
    <row r="293" spans="1:8" ht="11.25">
      <c r="A293" s="24"/>
      <c r="B293" s="24"/>
      <c r="C293" s="24"/>
      <c r="D293" s="24"/>
      <c r="E293" s="24"/>
      <c r="F293" s="24"/>
      <c r="G293" s="24"/>
      <c r="H293" s="24"/>
    </row>
    <row r="294" spans="1:8" ht="11.25">
      <c r="A294" s="24"/>
      <c r="B294" s="24"/>
      <c r="C294" s="24"/>
      <c r="D294" s="24"/>
      <c r="E294" s="24"/>
      <c r="F294" s="24"/>
      <c r="G294" s="24"/>
      <c r="H294" s="24"/>
    </row>
    <row r="295" spans="1:8" ht="11.25">
      <c r="A295" s="24"/>
      <c r="B295" s="24"/>
      <c r="C295" s="24"/>
      <c r="D295" s="24"/>
      <c r="E295" s="24"/>
      <c r="F295" s="24"/>
      <c r="G295" s="24"/>
      <c r="H295" s="24"/>
    </row>
    <row r="296" spans="1:8" ht="11.25">
      <c r="A296" s="24"/>
      <c r="B296" s="24"/>
      <c r="C296" s="24"/>
      <c r="D296" s="24"/>
      <c r="E296" s="24"/>
      <c r="F296" s="24"/>
      <c r="G296" s="24"/>
      <c r="H296" s="24"/>
    </row>
    <row r="297" spans="1:8" ht="11.25">
      <c r="A297" s="24"/>
      <c r="B297" s="24"/>
      <c r="C297" s="24"/>
      <c r="D297" s="24"/>
      <c r="E297" s="24"/>
      <c r="F297" s="24"/>
      <c r="G297" s="24"/>
      <c r="H297" s="24"/>
    </row>
    <row r="298" spans="1:8" ht="11.25">
      <c r="A298" s="24"/>
      <c r="B298" s="24"/>
      <c r="C298" s="24"/>
      <c r="D298" s="24"/>
      <c r="E298" s="24"/>
      <c r="F298" s="24"/>
      <c r="G298" s="24"/>
      <c r="H298" s="24"/>
    </row>
    <row r="299" spans="1:8" ht="11.25">
      <c r="A299" s="24"/>
      <c r="B299" s="24"/>
      <c r="C299" s="24"/>
      <c r="D299" s="24"/>
      <c r="E299" s="24"/>
      <c r="F299" s="24"/>
      <c r="G299" s="24"/>
      <c r="H299" s="24"/>
    </row>
    <row r="300" spans="1:8" ht="11.25">
      <c r="A300" s="24"/>
      <c r="B300" s="24"/>
      <c r="C300" s="24"/>
      <c r="D300" s="24"/>
      <c r="E300" s="24"/>
      <c r="F300" s="24"/>
      <c r="G300" s="24"/>
      <c r="H300" s="24"/>
    </row>
    <row r="301" spans="1:8" ht="11.25">
      <c r="A301" s="24"/>
      <c r="B301" s="24"/>
      <c r="C301" s="24"/>
      <c r="D301" s="24"/>
      <c r="E301" s="24"/>
      <c r="F301" s="24"/>
      <c r="G301" s="24"/>
      <c r="H301" s="24"/>
    </row>
    <row r="302" spans="1:8" ht="11.25">
      <c r="A302" s="24"/>
      <c r="B302" s="24"/>
      <c r="C302" s="24"/>
      <c r="D302" s="24"/>
      <c r="E302" s="24"/>
      <c r="F302" s="24"/>
      <c r="G302" s="24"/>
      <c r="H302" s="24"/>
    </row>
    <row r="303" spans="1:8" ht="11.25">
      <c r="A303" s="24"/>
      <c r="B303" s="24"/>
      <c r="C303" s="24"/>
      <c r="D303" s="24"/>
      <c r="E303" s="24"/>
      <c r="F303" s="24"/>
      <c r="G303" s="24"/>
      <c r="H303" s="24"/>
    </row>
    <row r="304" spans="1:8" ht="11.25">
      <c r="A304" s="24"/>
      <c r="B304" s="24"/>
      <c r="C304" s="24"/>
      <c r="D304" s="24"/>
      <c r="E304" s="24"/>
      <c r="F304" s="24"/>
      <c r="G304" s="24"/>
      <c r="H304" s="24"/>
    </row>
    <row r="305" spans="1:8" ht="11.25">
      <c r="A305" s="24"/>
      <c r="B305" s="24"/>
      <c r="C305" s="24"/>
      <c r="D305" s="24"/>
      <c r="E305" s="24"/>
      <c r="F305" s="24"/>
      <c r="G305" s="24"/>
      <c r="H305" s="24"/>
    </row>
    <row r="306" spans="1:8" ht="11.25">
      <c r="A306" s="24"/>
      <c r="B306" s="24"/>
      <c r="C306" s="24"/>
      <c r="D306" s="24"/>
      <c r="E306" s="24"/>
      <c r="F306" s="24"/>
      <c r="G306" s="24"/>
      <c r="H306" s="24"/>
    </row>
    <row r="307" spans="1:8" ht="11.25">
      <c r="A307" s="24"/>
      <c r="B307" s="24"/>
      <c r="C307" s="24"/>
      <c r="D307" s="24"/>
      <c r="E307" s="24"/>
      <c r="F307" s="24"/>
      <c r="G307" s="24"/>
      <c r="H307" s="24"/>
    </row>
    <row r="308" spans="1:8" ht="11.25">
      <c r="A308" s="24"/>
      <c r="B308" s="24"/>
      <c r="C308" s="24"/>
      <c r="D308" s="24"/>
      <c r="E308" s="24"/>
      <c r="F308" s="24"/>
      <c r="G308" s="24"/>
      <c r="H308" s="24"/>
    </row>
    <row r="309" spans="1:8" ht="11.25">
      <c r="A309" s="24"/>
      <c r="B309" s="24"/>
      <c r="C309" s="24"/>
      <c r="D309" s="24"/>
      <c r="E309" s="24"/>
      <c r="F309" s="24"/>
      <c r="G309" s="24"/>
      <c r="H309" s="24"/>
    </row>
    <row r="310" spans="1:8" ht="11.25">
      <c r="A310" s="24"/>
      <c r="B310" s="24"/>
      <c r="C310" s="24"/>
      <c r="D310" s="24"/>
      <c r="E310" s="24"/>
      <c r="F310" s="24"/>
      <c r="G310" s="24"/>
      <c r="H310" s="24"/>
    </row>
    <row r="311" spans="1:8" ht="11.25">
      <c r="A311" s="24"/>
      <c r="B311" s="24"/>
      <c r="C311" s="24"/>
      <c r="D311" s="24"/>
      <c r="E311" s="24"/>
      <c r="F311" s="24"/>
      <c r="G311" s="24"/>
      <c r="H311" s="24"/>
    </row>
    <row r="312" spans="1:8" ht="11.25">
      <c r="A312" s="24"/>
      <c r="B312" s="24"/>
      <c r="C312" s="24"/>
      <c r="D312" s="24"/>
      <c r="E312" s="24"/>
      <c r="F312" s="24"/>
      <c r="G312" s="24"/>
      <c r="H312" s="24"/>
    </row>
    <row r="313" spans="1:8" ht="11.25">
      <c r="A313" s="24"/>
      <c r="B313" s="24"/>
      <c r="C313" s="24"/>
      <c r="D313" s="24"/>
      <c r="E313" s="24"/>
      <c r="F313" s="24"/>
      <c r="G313" s="24"/>
      <c r="H313" s="24"/>
    </row>
    <row r="314" spans="1:8" ht="11.25">
      <c r="A314" s="24"/>
      <c r="B314" s="24"/>
      <c r="C314" s="24"/>
      <c r="D314" s="24"/>
      <c r="E314" s="24"/>
      <c r="F314" s="24"/>
      <c r="G314" s="24"/>
      <c r="H314" s="24"/>
    </row>
    <row r="315" spans="1:8" ht="11.25">
      <c r="A315" s="24"/>
      <c r="B315" s="24"/>
      <c r="C315" s="24"/>
      <c r="D315" s="24"/>
      <c r="E315" s="24"/>
      <c r="F315" s="24"/>
      <c r="G315" s="24"/>
      <c r="H315" s="24"/>
    </row>
    <row r="316" spans="1:8" ht="11.25">
      <c r="A316" s="24"/>
      <c r="B316" s="24"/>
      <c r="C316" s="24"/>
      <c r="D316" s="24"/>
      <c r="E316" s="24"/>
      <c r="F316" s="24"/>
      <c r="G316" s="24"/>
      <c r="H316" s="24"/>
    </row>
    <row r="317" spans="1:8" ht="11.25">
      <c r="A317" s="24"/>
      <c r="B317" s="24"/>
      <c r="C317" s="24"/>
      <c r="D317" s="24"/>
      <c r="E317" s="24"/>
      <c r="F317" s="24"/>
      <c r="G317" s="24"/>
      <c r="H317" s="24"/>
    </row>
    <row r="318" spans="1:8" ht="11.25">
      <c r="A318" s="24"/>
      <c r="B318" s="24"/>
      <c r="C318" s="24"/>
      <c r="D318" s="24"/>
      <c r="E318" s="24"/>
      <c r="F318" s="24"/>
      <c r="G318" s="24"/>
      <c r="H318" s="24"/>
    </row>
    <row r="319" spans="1:8" ht="11.25">
      <c r="A319" s="24"/>
      <c r="B319" s="24"/>
      <c r="C319" s="24"/>
      <c r="D319" s="24"/>
      <c r="E319" s="24"/>
      <c r="F319" s="24"/>
      <c r="G319" s="24"/>
      <c r="H319" s="24"/>
    </row>
    <row r="320" spans="1:8" ht="11.25">
      <c r="A320" s="24"/>
      <c r="B320" s="24"/>
      <c r="C320" s="24"/>
      <c r="D320" s="24"/>
      <c r="E320" s="24"/>
      <c r="F320" s="24"/>
      <c r="G320" s="24"/>
      <c r="H320" s="24"/>
    </row>
    <row r="321" spans="1:8" ht="11.25">
      <c r="A321" s="24"/>
      <c r="B321" s="24"/>
      <c r="C321" s="24"/>
      <c r="D321" s="24"/>
      <c r="E321" s="24"/>
      <c r="F321" s="24"/>
      <c r="G321" s="24"/>
      <c r="H321" s="24"/>
    </row>
    <row r="322" spans="1:8" ht="11.25">
      <c r="A322" s="24"/>
      <c r="B322" s="24"/>
      <c r="C322" s="24"/>
      <c r="D322" s="24"/>
      <c r="E322" s="24"/>
      <c r="F322" s="24"/>
      <c r="G322" s="24"/>
      <c r="H322" s="24"/>
    </row>
    <row r="323" spans="1:8" ht="11.25">
      <c r="A323" s="24"/>
      <c r="B323" s="24"/>
      <c r="C323" s="24"/>
      <c r="D323" s="24"/>
      <c r="E323" s="24"/>
      <c r="F323" s="24"/>
      <c r="G323" s="24"/>
      <c r="H323" s="24"/>
    </row>
    <row r="324" spans="1:8" ht="11.25">
      <c r="A324" s="24"/>
      <c r="B324" s="24"/>
      <c r="C324" s="24"/>
      <c r="D324" s="24"/>
      <c r="E324" s="24"/>
      <c r="F324" s="24"/>
      <c r="G324" s="24"/>
      <c r="H324" s="24"/>
    </row>
    <row r="325" spans="1:8" ht="11.25">
      <c r="A325" s="24"/>
      <c r="B325" s="24"/>
      <c r="C325" s="24"/>
      <c r="D325" s="24"/>
      <c r="E325" s="24"/>
      <c r="F325" s="24"/>
      <c r="G325" s="24"/>
      <c r="H325" s="24"/>
    </row>
    <row r="326" spans="1:8" ht="11.25">
      <c r="A326" s="24"/>
      <c r="B326" s="24"/>
      <c r="C326" s="24"/>
      <c r="D326" s="24"/>
      <c r="E326" s="24"/>
      <c r="F326" s="24"/>
      <c r="G326" s="24"/>
      <c r="H326" s="24"/>
    </row>
    <row r="327" spans="1:8" ht="11.25">
      <c r="A327" s="24"/>
      <c r="B327" s="24"/>
      <c r="C327" s="24"/>
      <c r="D327" s="24"/>
      <c r="E327" s="24"/>
      <c r="F327" s="24"/>
      <c r="G327" s="24"/>
      <c r="H327" s="24"/>
    </row>
    <row r="328" spans="1:8" ht="11.25">
      <c r="A328" s="24"/>
      <c r="B328" s="24"/>
      <c r="C328" s="24"/>
      <c r="D328" s="24"/>
      <c r="E328" s="24"/>
      <c r="F328" s="24"/>
      <c r="G328" s="24"/>
      <c r="H328" s="24"/>
    </row>
    <row r="329" spans="1:8" ht="11.25">
      <c r="A329" s="24"/>
      <c r="B329" s="24"/>
      <c r="C329" s="24"/>
      <c r="D329" s="24"/>
      <c r="E329" s="24"/>
      <c r="F329" s="24"/>
      <c r="G329" s="24"/>
      <c r="H329" s="24"/>
    </row>
    <row r="330" spans="1:8" ht="11.25">
      <c r="A330" s="24"/>
      <c r="B330" s="24"/>
      <c r="C330" s="24"/>
      <c r="D330" s="24"/>
      <c r="E330" s="24"/>
      <c r="F330" s="24"/>
      <c r="G330" s="24"/>
      <c r="H330" s="24"/>
    </row>
    <row r="331" spans="1:8" ht="11.25">
      <c r="A331" s="24"/>
      <c r="B331" s="24"/>
      <c r="C331" s="24"/>
      <c r="D331" s="24"/>
      <c r="E331" s="24"/>
      <c r="F331" s="24"/>
      <c r="G331" s="24"/>
      <c r="H331" s="24"/>
    </row>
    <row r="332" spans="1:8" ht="11.25">
      <c r="A332" s="24"/>
      <c r="B332" s="24"/>
      <c r="C332" s="24"/>
      <c r="D332" s="24"/>
      <c r="E332" s="24"/>
      <c r="F332" s="24"/>
      <c r="G332" s="24"/>
      <c r="H332" s="24"/>
    </row>
    <row r="333" spans="1:8" ht="11.25">
      <c r="A333" s="24"/>
      <c r="B333" s="24"/>
      <c r="C333" s="24"/>
      <c r="D333" s="24"/>
      <c r="E333" s="24"/>
      <c r="F333" s="24"/>
      <c r="G333" s="24"/>
      <c r="H333" s="24"/>
    </row>
    <row r="334" spans="1:8" ht="11.25">
      <c r="A334" s="24"/>
      <c r="B334" s="24"/>
      <c r="C334" s="24"/>
      <c r="D334" s="24"/>
      <c r="E334" s="24"/>
      <c r="F334" s="24"/>
      <c r="G334" s="24"/>
      <c r="H334" s="24"/>
    </row>
    <row r="335" spans="1:8" ht="11.25">
      <c r="A335" s="24"/>
      <c r="B335" s="24"/>
      <c r="C335" s="24"/>
      <c r="D335" s="24"/>
      <c r="E335" s="24"/>
      <c r="F335" s="24"/>
      <c r="G335" s="24"/>
      <c r="H335" s="24"/>
    </row>
    <row r="336" spans="1:8" ht="11.25">
      <c r="A336" s="24"/>
      <c r="B336" s="24"/>
      <c r="C336" s="24"/>
      <c r="D336" s="24"/>
      <c r="E336" s="24"/>
      <c r="F336" s="24"/>
      <c r="G336" s="24"/>
      <c r="H336" s="24"/>
    </row>
    <row r="337" spans="1:8" ht="11.25">
      <c r="A337" s="24"/>
      <c r="B337" s="24"/>
      <c r="C337" s="24"/>
      <c r="D337" s="24"/>
      <c r="E337" s="24"/>
      <c r="F337" s="24"/>
      <c r="G337" s="24"/>
      <c r="H337" s="24"/>
    </row>
    <row r="338" spans="1:8" ht="11.25">
      <c r="A338" s="24"/>
      <c r="B338" s="24"/>
      <c r="C338" s="24"/>
      <c r="D338" s="24"/>
      <c r="E338" s="24"/>
      <c r="F338" s="24"/>
      <c r="G338" s="24"/>
      <c r="H338" s="24"/>
    </row>
    <row r="339" spans="1:8" ht="11.25">
      <c r="A339" s="24"/>
      <c r="B339" s="24"/>
      <c r="C339" s="24"/>
      <c r="D339" s="24"/>
      <c r="E339" s="24"/>
      <c r="F339" s="24"/>
      <c r="G339" s="24"/>
      <c r="H339" s="24"/>
    </row>
    <row r="340" spans="1:8" ht="11.25">
      <c r="A340" s="24"/>
      <c r="B340" s="24"/>
      <c r="C340" s="24"/>
      <c r="D340" s="24"/>
      <c r="E340" s="24"/>
      <c r="F340" s="24"/>
      <c r="G340" s="24"/>
      <c r="H340" s="24"/>
    </row>
    <row r="341" spans="1:8" ht="11.25">
      <c r="A341" s="24"/>
      <c r="B341" s="24"/>
      <c r="C341" s="24"/>
      <c r="D341" s="24"/>
      <c r="E341" s="24"/>
      <c r="F341" s="24"/>
      <c r="G341" s="24"/>
      <c r="H341" s="24"/>
    </row>
    <row r="342" spans="1:8" ht="11.25">
      <c r="A342" s="24"/>
      <c r="B342" s="24"/>
      <c r="C342" s="24"/>
      <c r="D342" s="24"/>
      <c r="E342" s="24"/>
      <c r="F342" s="24"/>
      <c r="G342" s="24"/>
      <c r="H342" s="24"/>
    </row>
    <row r="343" spans="1:8" ht="11.25">
      <c r="A343" s="24"/>
      <c r="B343" s="24"/>
      <c r="C343" s="24"/>
      <c r="D343" s="24"/>
      <c r="E343" s="24"/>
      <c r="F343" s="24"/>
      <c r="G343" s="24"/>
      <c r="H343" s="24"/>
    </row>
  </sheetData>
  <sheetProtection/>
  <mergeCells count="31">
    <mergeCell ref="B89:B90"/>
    <mergeCell ref="C89:D89"/>
    <mergeCell ref="E89:F89"/>
    <mergeCell ref="G89:I89"/>
    <mergeCell ref="B58:B59"/>
    <mergeCell ref="C58:D58"/>
    <mergeCell ref="E58:F58"/>
    <mergeCell ref="G58:I58"/>
    <mergeCell ref="B74:B75"/>
    <mergeCell ref="C74:D74"/>
    <mergeCell ref="E74:F74"/>
    <mergeCell ref="G74:I74"/>
    <mergeCell ref="B33:B35"/>
    <mergeCell ref="C33:D33"/>
    <mergeCell ref="E33:F34"/>
    <mergeCell ref="G33:I34"/>
    <mergeCell ref="C34:D34"/>
    <mergeCell ref="B48:B49"/>
    <mergeCell ref="C48:D48"/>
    <mergeCell ref="E48:F48"/>
    <mergeCell ref="G48:I48"/>
    <mergeCell ref="B4:B6"/>
    <mergeCell ref="C4:D4"/>
    <mergeCell ref="E4:F5"/>
    <mergeCell ref="G4:I5"/>
    <mergeCell ref="C5:D5"/>
    <mergeCell ref="B19:B21"/>
    <mergeCell ref="C19:D19"/>
    <mergeCell ref="E19:F20"/>
    <mergeCell ref="G19:I20"/>
    <mergeCell ref="C20:D20"/>
  </mergeCells>
  <printOptions/>
  <pageMargins left="0.75" right="0.75" top="1" bottom="1" header="0.5" footer="0.5"/>
  <pageSetup horizontalDpi="600" verticalDpi="600" orientation="landscape" paperSize="9" r:id="rId1"/>
  <rowBreaks count="4" manualBreakCount="4">
    <brk id="16" max="255" man="1"/>
    <brk id="55" max="255" man="1"/>
    <brk id="71" max="255" man="1"/>
    <brk id="86" max="255" man="1"/>
  </rowBreaks>
</worksheet>
</file>

<file path=xl/worksheets/sheet8.xml><?xml version="1.0" encoding="utf-8"?>
<worksheet xmlns="http://schemas.openxmlformats.org/spreadsheetml/2006/main" xmlns:r="http://schemas.openxmlformats.org/officeDocument/2006/relationships">
  <dimension ref="B2:I97"/>
  <sheetViews>
    <sheetView zoomScalePageLayoutView="0" workbookViewId="0" topLeftCell="A55">
      <selection activeCell="D65" sqref="D65"/>
    </sheetView>
  </sheetViews>
  <sheetFormatPr defaultColWidth="9.00390625" defaultRowHeight="12.75"/>
  <cols>
    <col min="1" max="1" width="9.125" style="1" customWidth="1"/>
    <col min="2" max="2" width="23.25390625" style="1" customWidth="1"/>
    <col min="3" max="3" width="10.375" style="1" customWidth="1"/>
    <col min="4" max="4" width="10.25390625" style="1" customWidth="1"/>
    <col min="5" max="5" width="10.875" style="1" customWidth="1"/>
    <col min="6" max="6" width="10.75390625" style="1" customWidth="1"/>
    <col min="7" max="7" width="13.00390625" style="1" customWidth="1"/>
    <col min="8" max="8" width="12.25390625" style="1" customWidth="1"/>
    <col min="9" max="9" width="15.75390625" style="1" customWidth="1"/>
    <col min="10" max="16384" width="9.125" style="1" customWidth="1"/>
  </cols>
  <sheetData>
    <row r="2" ht="12.75">
      <c r="B2" s="3" t="s">
        <v>23</v>
      </c>
    </row>
    <row r="4" spans="2:9" ht="36.75" customHeight="1">
      <c r="B4" s="599" t="s">
        <v>318</v>
      </c>
      <c r="C4" s="599" t="s">
        <v>354</v>
      </c>
      <c r="D4" s="599"/>
      <c r="E4" s="599" t="s">
        <v>320</v>
      </c>
      <c r="F4" s="599"/>
      <c r="G4" s="599" t="s">
        <v>321</v>
      </c>
      <c r="H4" s="599"/>
      <c r="I4" s="599"/>
    </row>
    <row r="5" spans="2:9" ht="15.75" customHeight="1" hidden="1">
      <c r="B5" s="599"/>
      <c r="C5" s="599" t="s">
        <v>319</v>
      </c>
      <c r="D5" s="599"/>
      <c r="E5" s="599"/>
      <c r="F5" s="599"/>
      <c r="G5" s="599"/>
      <c r="H5" s="599"/>
      <c r="I5" s="599"/>
    </row>
    <row r="6" spans="2:9" ht="46.5" customHeight="1">
      <c r="B6" s="599"/>
      <c r="C6" s="4" t="s">
        <v>352</v>
      </c>
      <c r="D6" s="4" t="s">
        <v>353</v>
      </c>
      <c r="E6" s="4" t="s">
        <v>352</v>
      </c>
      <c r="F6" s="4" t="s">
        <v>353</v>
      </c>
      <c r="G6" s="4" t="s">
        <v>324</v>
      </c>
      <c r="H6" s="4" t="s">
        <v>325</v>
      </c>
      <c r="I6" s="4" t="s">
        <v>326</v>
      </c>
    </row>
    <row r="7" spans="2:9" ht="16.5" customHeight="1">
      <c r="B7" s="9" t="s">
        <v>327</v>
      </c>
      <c r="C7" s="96">
        <f>Данные!E6</f>
        <v>0</v>
      </c>
      <c r="D7" s="96">
        <f>Данные!F6</f>
        <v>0</v>
      </c>
      <c r="E7" s="96">
        <f>C7/C14*100</f>
        <v>0</v>
      </c>
      <c r="F7" s="96">
        <f>D7/D14*100</f>
        <v>0</v>
      </c>
      <c r="G7" s="96">
        <f>D7-C7</f>
        <v>0</v>
      </c>
      <c r="H7" s="96">
        <f>F7-E7</f>
        <v>0</v>
      </c>
      <c r="I7" s="96">
        <f>G7/G14*100</f>
        <v>0</v>
      </c>
    </row>
    <row r="8" spans="2:9" ht="11.25">
      <c r="B8" s="9" t="s">
        <v>328</v>
      </c>
      <c r="C8" s="96">
        <f>Данные!E7</f>
        <v>45089</v>
      </c>
      <c r="D8" s="96">
        <f>Данные!F7</f>
        <v>53052</v>
      </c>
      <c r="E8" s="96">
        <f>C8/C14*100</f>
        <v>87.08474969097651</v>
      </c>
      <c r="F8" s="96">
        <f>D8/D14*100</f>
        <v>99.99623025596563</v>
      </c>
      <c r="G8" s="96">
        <f aca="true" t="shared" si="0" ref="G8:G13">D8-C8</f>
        <v>7963</v>
      </c>
      <c r="H8" s="96">
        <f aca="true" t="shared" si="1" ref="H8:H13">F8-E8</f>
        <v>12.91148056498912</v>
      </c>
      <c r="I8" s="96">
        <f>G8/G14*100</f>
        <v>623.0829420970266</v>
      </c>
    </row>
    <row r="9" spans="2:9" ht="22.5">
      <c r="B9" s="9" t="s">
        <v>329</v>
      </c>
      <c r="C9" s="96">
        <f>Данные!E8</f>
        <v>6685</v>
      </c>
      <c r="D9" s="96">
        <f>Данные!F8</f>
        <v>0</v>
      </c>
      <c r="E9" s="96">
        <f>C9/C14*100</f>
        <v>12.911387515451175</v>
      </c>
      <c r="F9" s="96">
        <f>D9/D14*100</f>
        <v>0</v>
      </c>
      <c r="G9" s="96">
        <f t="shared" si="0"/>
        <v>-6685</v>
      </c>
      <c r="H9" s="96">
        <f t="shared" si="1"/>
        <v>-12.911387515451175</v>
      </c>
      <c r="I9" s="96">
        <f>G9/G14*100</f>
        <v>-523.0829420970266</v>
      </c>
    </row>
    <row r="10" spans="2:9" ht="22.5">
      <c r="B10" s="9" t="s">
        <v>330</v>
      </c>
      <c r="C10" s="96">
        <f>Данные!E9</f>
        <v>0</v>
      </c>
      <c r="D10" s="96">
        <f>Данные!F9</f>
        <v>0</v>
      </c>
      <c r="E10" s="96">
        <f>C10/C14*100</f>
        <v>0</v>
      </c>
      <c r="F10" s="96">
        <f>D10/D14*100</f>
        <v>0</v>
      </c>
      <c r="G10" s="96">
        <f t="shared" si="0"/>
        <v>0</v>
      </c>
      <c r="H10" s="96">
        <f t="shared" si="1"/>
        <v>0</v>
      </c>
      <c r="I10" s="96">
        <f>G10/G14*100</f>
        <v>0</v>
      </c>
    </row>
    <row r="11" spans="2:9" ht="22.5">
      <c r="B11" s="9" t="s">
        <v>331</v>
      </c>
      <c r="C11" s="96">
        <f>Данные!E10</f>
        <v>2</v>
      </c>
      <c r="D11" s="96">
        <f>Данные!F10</f>
        <v>2</v>
      </c>
      <c r="E11" s="96">
        <f>C11/C14*100</f>
        <v>0.0038627935723114953</v>
      </c>
      <c r="F11" s="96">
        <f>D11/D14*100</f>
        <v>0.003769744034380066</v>
      </c>
      <c r="G11" s="96">
        <f t="shared" si="0"/>
        <v>0</v>
      </c>
      <c r="H11" s="96">
        <f t="shared" si="1"/>
        <v>-9.304953793142943E-05</v>
      </c>
      <c r="I11" s="96">
        <f>G11/G14*100</f>
        <v>0</v>
      </c>
    </row>
    <row r="12" spans="2:9" ht="22.5">
      <c r="B12" s="9" t="s">
        <v>332</v>
      </c>
      <c r="C12" s="96">
        <f>Данные!E24</f>
        <v>0</v>
      </c>
      <c r="D12" s="96">
        <f>Данные!F24</f>
        <v>0</v>
      </c>
      <c r="E12" s="96">
        <f>C12/C14*100</f>
        <v>0</v>
      </c>
      <c r="F12" s="96">
        <f>D12/D14*100</f>
        <v>0</v>
      </c>
      <c r="G12" s="96">
        <f t="shared" si="0"/>
        <v>0</v>
      </c>
      <c r="H12" s="96">
        <f t="shared" si="1"/>
        <v>0</v>
      </c>
      <c r="I12" s="96">
        <f>G12/G14*100</f>
        <v>0</v>
      </c>
    </row>
    <row r="13" spans="2:9" ht="18" customHeight="1">
      <c r="B13" s="9" t="s">
        <v>333</v>
      </c>
      <c r="C13" s="96">
        <f>Данные!E12</f>
        <v>0</v>
      </c>
      <c r="D13" s="96">
        <f>Данные!F12</f>
        <v>0</v>
      </c>
      <c r="E13" s="96">
        <f>C13/C14*100</f>
        <v>0</v>
      </c>
      <c r="F13" s="96">
        <f>D13/D14*100</f>
        <v>0</v>
      </c>
      <c r="G13" s="96">
        <f t="shared" si="0"/>
        <v>0</v>
      </c>
      <c r="H13" s="96">
        <f t="shared" si="1"/>
        <v>0</v>
      </c>
      <c r="I13" s="96">
        <f>G13/G14*100</f>
        <v>0</v>
      </c>
    </row>
    <row r="14" spans="2:9" ht="13.5" customHeight="1">
      <c r="B14" s="12" t="s">
        <v>334</v>
      </c>
      <c r="C14" s="97">
        <f>SUM(C7:C13)</f>
        <v>51776</v>
      </c>
      <c r="D14" s="97">
        <f>SUM(D7:D13)</f>
        <v>53054</v>
      </c>
      <c r="E14" s="97">
        <f>SUM(E7:E13)</f>
        <v>99.99999999999999</v>
      </c>
      <c r="F14" s="97">
        <f>SUM(F7:F13)</f>
        <v>100.00000000000001</v>
      </c>
      <c r="G14" s="97">
        <f>D14-C14</f>
        <v>1278</v>
      </c>
      <c r="H14" s="97">
        <f>F14-E14</f>
        <v>0</v>
      </c>
      <c r="I14" s="97">
        <f>SUM(I7:I13)</f>
        <v>100</v>
      </c>
    </row>
    <row r="15" ht="11.25">
      <c r="B15" s="1" t="s">
        <v>355</v>
      </c>
    </row>
    <row r="17" ht="12.75">
      <c r="B17" s="3" t="s">
        <v>24</v>
      </c>
    </row>
    <row r="19" spans="2:9" ht="33" customHeight="1">
      <c r="B19" s="585" t="s">
        <v>318</v>
      </c>
      <c r="C19" s="588" t="s">
        <v>354</v>
      </c>
      <c r="D19" s="589"/>
      <c r="E19" s="588" t="s">
        <v>357</v>
      </c>
      <c r="F19" s="589"/>
      <c r="G19" s="588" t="s">
        <v>321</v>
      </c>
      <c r="H19" s="592"/>
      <c r="I19" s="589"/>
    </row>
    <row r="20" spans="2:9" ht="15.75" customHeight="1" hidden="1">
      <c r="B20" s="586"/>
      <c r="C20" s="590" t="s">
        <v>319</v>
      </c>
      <c r="D20" s="591"/>
      <c r="E20" s="590"/>
      <c r="F20" s="591"/>
      <c r="G20" s="590"/>
      <c r="H20" s="593"/>
      <c r="I20" s="591"/>
    </row>
    <row r="21" spans="2:9" ht="45" customHeight="1">
      <c r="B21" s="587"/>
      <c r="C21" s="4" t="s">
        <v>352</v>
      </c>
      <c r="D21" s="5" t="s">
        <v>353</v>
      </c>
      <c r="E21" s="5" t="s">
        <v>352</v>
      </c>
      <c r="F21" s="5" t="s">
        <v>353</v>
      </c>
      <c r="G21" s="5" t="s">
        <v>324</v>
      </c>
      <c r="H21" s="5" t="s">
        <v>325</v>
      </c>
      <c r="I21" s="5" t="s">
        <v>356</v>
      </c>
    </row>
    <row r="22" spans="2:9" ht="11.25">
      <c r="B22" s="48" t="s">
        <v>92</v>
      </c>
      <c r="C22" s="55">
        <f>Данные!E15</f>
        <v>69439</v>
      </c>
      <c r="D22" s="55">
        <f>Данные!F15</f>
        <v>87624</v>
      </c>
      <c r="E22" s="55">
        <f>C22/C28*100</f>
        <v>77.93640638854282</v>
      </c>
      <c r="F22" s="55">
        <f>D22/D28*100</f>
        <v>85.90756681503558</v>
      </c>
      <c r="G22" s="55">
        <f aca="true" t="shared" si="2" ref="G22:G28">D22-C22</f>
        <v>18185</v>
      </c>
      <c r="H22" s="55">
        <f aca="true" t="shared" si="3" ref="H22:H27">F22-E22</f>
        <v>7.971160426492759</v>
      </c>
      <c r="I22" s="55">
        <f>G22/G28*100</f>
        <v>140.95806526625842</v>
      </c>
    </row>
    <row r="23" spans="2:9" ht="22.5">
      <c r="B23" s="48" t="s">
        <v>335</v>
      </c>
      <c r="C23" s="55">
        <f>Данные!E23</f>
        <v>2024</v>
      </c>
      <c r="D23" s="55">
        <f>Данные!F23</f>
        <v>0</v>
      </c>
      <c r="E23" s="55">
        <f>C23/C28*100</f>
        <v>2.271681425861701</v>
      </c>
      <c r="F23" s="55">
        <f>D23/D28*100</f>
        <v>0</v>
      </c>
      <c r="G23" s="55">
        <f t="shared" si="2"/>
        <v>-2024</v>
      </c>
      <c r="H23" s="55">
        <f t="shared" si="3"/>
        <v>-2.271681425861701</v>
      </c>
      <c r="I23" s="55">
        <f>G23/G28*100</f>
        <v>-15.688706301837065</v>
      </c>
    </row>
    <row r="24" spans="2:9" ht="22.5">
      <c r="B24" s="48" t="s">
        <v>336</v>
      </c>
      <c r="C24" s="55">
        <f>Данные!E30</f>
        <v>9389</v>
      </c>
      <c r="D24" s="55">
        <f>Данные!F30</f>
        <v>13844</v>
      </c>
      <c r="E24" s="55">
        <f>C24/C28*100</f>
        <v>10.537953017497784</v>
      </c>
      <c r="F24" s="55">
        <f>D24/D28*100</f>
        <v>13.572815153238299</v>
      </c>
      <c r="G24" s="55">
        <f t="shared" si="2"/>
        <v>4455</v>
      </c>
      <c r="H24" s="55">
        <f t="shared" si="3"/>
        <v>3.0348621357405143</v>
      </c>
      <c r="I24" s="55">
        <f>G24/G28*100</f>
        <v>34.53220680567398</v>
      </c>
    </row>
    <row r="25" spans="2:9" ht="22.5">
      <c r="B25" s="48" t="s">
        <v>337</v>
      </c>
      <c r="C25" s="55">
        <f>Данные!E37</f>
        <v>0</v>
      </c>
      <c r="D25" s="55">
        <f>Данные!F37</f>
        <v>0</v>
      </c>
      <c r="E25" s="55">
        <f>C25/C28*100</f>
        <v>0</v>
      </c>
      <c r="F25" s="55">
        <f>D25/D28*100</f>
        <v>0</v>
      </c>
      <c r="G25" s="55">
        <f t="shared" si="2"/>
        <v>0</v>
      </c>
      <c r="H25" s="55">
        <f t="shared" si="3"/>
        <v>0</v>
      </c>
      <c r="I25" s="55">
        <f>G25/G28*100</f>
        <v>0</v>
      </c>
    </row>
    <row r="26" spans="2:9" ht="11.25">
      <c r="B26" s="48" t="s">
        <v>230</v>
      </c>
      <c r="C26" s="55">
        <f>Данные!E41</f>
        <v>8245</v>
      </c>
      <c r="D26" s="55">
        <f>Данные!F41</f>
        <v>530</v>
      </c>
      <c r="E26" s="55">
        <f>C26/C28*100</f>
        <v>9.253959168097692</v>
      </c>
      <c r="F26" s="55">
        <f>D26/D28*100</f>
        <v>0.5196180317261123</v>
      </c>
      <c r="G26" s="55">
        <f t="shared" si="2"/>
        <v>-7715</v>
      </c>
      <c r="H26" s="55">
        <f t="shared" si="3"/>
        <v>-8.73434113637158</v>
      </c>
      <c r="I26" s="55">
        <f>G26/G28*100</f>
        <v>-59.801565770095344</v>
      </c>
    </row>
    <row r="27" spans="2:9" ht="11.25">
      <c r="B27" s="48" t="s">
        <v>338</v>
      </c>
      <c r="C27" s="55">
        <f>Данные!E46</f>
        <v>0</v>
      </c>
      <c r="D27" s="55">
        <f>Данные!F46</f>
        <v>0</v>
      </c>
      <c r="E27" s="55">
        <f>C27/C28*100</f>
        <v>0</v>
      </c>
      <c r="F27" s="55">
        <f>D27/D28*100</f>
        <v>0</v>
      </c>
      <c r="G27" s="55">
        <f t="shared" si="2"/>
        <v>0</v>
      </c>
      <c r="H27" s="55">
        <f t="shared" si="3"/>
        <v>0</v>
      </c>
      <c r="I27" s="55">
        <f>G27/G28*100</f>
        <v>0</v>
      </c>
    </row>
    <row r="28" spans="2:9" ht="11.25">
      <c r="B28" s="49" t="s">
        <v>339</v>
      </c>
      <c r="C28" s="59">
        <f>SUM(C22:C27)</f>
        <v>89097</v>
      </c>
      <c r="D28" s="59">
        <f>SUM(D22:D27)</f>
        <v>101998</v>
      </c>
      <c r="E28" s="59">
        <f>SUM(E22:E27)</f>
        <v>100</v>
      </c>
      <c r="F28" s="59">
        <f>SUM(F22:F27)</f>
        <v>99.99999999999999</v>
      </c>
      <c r="G28" s="59">
        <f t="shared" si="2"/>
        <v>12901</v>
      </c>
      <c r="H28" s="59">
        <f>SUM(H22:H27)</f>
        <v>-7.105427357601002E-15</v>
      </c>
      <c r="I28" s="59">
        <f>SUM(I22:I27)</f>
        <v>99.99999999999997</v>
      </c>
    </row>
    <row r="31" ht="12.75">
      <c r="B31" s="3" t="s">
        <v>25</v>
      </c>
    </row>
    <row r="33" spans="2:9" ht="27.75" customHeight="1">
      <c r="B33" s="585" t="s">
        <v>318</v>
      </c>
      <c r="C33" s="588" t="s">
        <v>354</v>
      </c>
      <c r="D33" s="589"/>
      <c r="E33" s="588" t="s">
        <v>358</v>
      </c>
      <c r="F33" s="589"/>
      <c r="G33" s="588" t="s">
        <v>321</v>
      </c>
      <c r="H33" s="592"/>
      <c r="I33" s="589"/>
    </row>
    <row r="34" spans="2:9" ht="15.75" customHeight="1" hidden="1">
      <c r="B34" s="586"/>
      <c r="C34" s="590"/>
      <c r="D34" s="591"/>
      <c r="E34" s="590"/>
      <c r="F34" s="591"/>
      <c r="G34" s="590"/>
      <c r="H34" s="593"/>
      <c r="I34" s="591"/>
    </row>
    <row r="35" spans="2:9" ht="33.75">
      <c r="B35" s="587"/>
      <c r="C35" s="4" t="s">
        <v>352</v>
      </c>
      <c r="D35" s="5" t="s">
        <v>353</v>
      </c>
      <c r="E35" s="5" t="s">
        <v>352</v>
      </c>
      <c r="F35" s="5" t="s">
        <v>353</v>
      </c>
      <c r="G35" s="5" t="s">
        <v>324</v>
      </c>
      <c r="H35" s="5" t="s">
        <v>325</v>
      </c>
      <c r="I35" s="5" t="s">
        <v>359</v>
      </c>
    </row>
    <row r="36" spans="2:9" ht="11.25">
      <c r="B36" s="2" t="s">
        <v>340</v>
      </c>
      <c r="C36" s="55">
        <f>Данные!E16</f>
        <v>20107</v>
      </c>
      <c r="D36" s="55">
        <f>Данные!F16</f>
        <v>27157</v>
      </c>
      <c r="E36" s="55">
        <f>C36/C43*100</f>
        <v>28.956350177853945</v>
      </c>
      <c r="F36" s="55">
        <f>D36/D43*100</f>
        <v>30.992650415411305</v>
      </c>
      <c r="G36" s="55">
        <f>D36-C36</f>
        <v>7050</v>
      </c>
      <c r="H36" s="55">
        <f>F36-E36</f>
        <v>2.0363002375573593</v>
      </c>
      <c r="I36" s="55">
        <f>G36/G43*100</f>
        <v>38.7682155622766</v>
      </c>
    </row>
    <row r="37" spans="2:9" ht="22.5">
      <c r="B37" s="2" t="s">
        <v>341</v>
      </c>
      <c r="C37" s="55">
        <f>Данные!E17</f>
        <v>22651</v>
      </c>
      <c r="D37" s="55">
        <f>Данные!F17</f>
        <v>29101</v>
      </c>
      <c r="E37" s="55">
        <f>C37/C43*100</f>
        <v>32.61999740779677</v>
      </c>
      <c r="F37" s="55">
        <f>D37/D43*100</f>
        <v>33.211220670136036</v>
      </c>
      <c r="G37" s="55">
        <f aca="true" t="shared" si="4" ref="G37:G42">D37-C37</f>
        <v>6450</v>
      </c>
      <c r="H37" s="55">
        <f aca="true" t="shared" si="5" ref="H37:H42">F37-E37</f>
        <v>0.5912232623392697</v>
      </c>
      <c r="I37" s="55">
        <f>G37/G43*100</f>
        <v>35.468792961231784</v>
      </c>
    </row>
    <row r="38" spans="2:9" ht="33.75">
      <c r="B38" s="2" t="s">
        <v>342</v>
      </c>
      <c r="C38" s="55">
        <f>Данные!E18</f>
        <v>4249</v>
      </c>
      <c r="D38" s="55">
        <f>Данные!F18</f>
        <v>4862</v>
      </c>
      <c r="E38" s="55">
        <f>C38/C43*100</f>
        <v>6.119039732715045</v>
      </c>
      <c r="F38" s="55">
        <f>D38/D43*100</f>
        <v>5.548708116497763</v>
      </c>
      <c r="G38" s="55">
        <f t="shared" si="4"/>
        <v>613</v>
      </c>
      <c r="H38" s="55">
        <f t="shared" si="5"/>
        <v>-0.570331616217282</v>
      </c>
      <c r="I38" s="55">
        <f>G38/G43*100</f>
        <v>3.3709100907341214</v>
      </c>
    </row>
    <row r="39" spans="2:9" ht="22.5">
      <c r="B39" s="2" t="s">
        <v>343</v>
      </c>
      <c r="C39" s="55">
        <f>Данные!E19</f>
        <v>22432</v>
      </c>
      <c r="D39" s="55">
        <f>Данные!F19</f>
        <v>26504</v>
      </c>
      <c r="E39" s="55">
        <f>C39/C43*100</f>
        <v>32.30461268163424</v>
      </c>
      <c r="F39" s="55">
        <f>D39/D43*100</f>
        <v>30.2474207979549</v>
      </c>
      <c r="G39" s="55">
        <f t="shared" si="4"/>
        <v>4072</v>
      </c>
      <c r="H39" s="55">
        <f t="shared" si="5"/>
        <v>-2.057191883679341</v>
      </c>
      <c r="I39" s="55">
        <f>G39/G43*100</f>
        <v>22.392081385757493</v>
      </c>
    </row>
    <row r="40" spans="2:9" ht="11.25">
      <c r="B40" s="2" t="s">
        <v>344</v>
      </c>
      <c r="C40" s="55">
        <f>Данные!E20</f>
        <v>0</v>
      </c>
      <c r="D40" s="55">
        <f>Данные!F20</f>
        <v>0</v>
      </c>
      <c r="E40" s="55">
        <f>C40/C43*100</f>
        <v>0</v>
      </c>
      <c r="F40" s="55">
        <f>D40/D43*100</f>
        <v>0</v>
      </c>
      <c r="G40" s="55">
        <f t="shared" si="4"/>
        <v>0</v>
      </c>
      <c r="H40" s="55">
        <f t="shared" si="5"/>
        <v>0</v>
      </c>
      <c r="I40" s="55">
        <f>G40/G43*100</f>
        <v>0</v>
      </c>
    </row>
    <row r="41" spans="2:9" ht="11.25">
      <c r="B41" s="2" t="s">
        <v>345</v>
      </c>
      <c r="C41" s="55">
        <f>Данные!E21</f>
        <v>0</v>
      </c>
      <c r="D41" s="55">
        <f>Данные!F21</f>
        <v>0</v>
      </c>
      <c r="E41" s="55">
        <f>C41/C43*100</f>
        <v>0</v>
      </c>
      <c r="F41" s="55">
        <f>D41/D43*100</f>
        <v>0</v>
      </c>
      <c r="G41" s="55">
        <f t="shared" si="4"/>
        <v>0</v>
      </c>
      <c r="H41" s="55">
        <f t="shared" si="5"/>
        <v>0</v>
      </c>
      <c r="I41" s="55">
        <f>G41/G43*100</f>
        <v>0</v>
      </c>
    </row>
    <row r="42" spans="2:9" ht="11.25">
      <c r="B42" s="2" t="s">
        <v>346</v>
      </c>
      <c r="C42" s="55">
        <f>Данные!E22</f>
        <v>0</v>
      </c>
      <c r="D42" s="55">
        <f>Данные!F22</f>
        <v>0</v>
      </c>
      <c r="E42" s="55">
        <f>C42/C43*100</f>
        <v>0</v>
      </c>
      <c r="F42" s="55">
        <f>D42/D43*100</f>
        <v>0</v>
      </c>
      <c r="G42" s="55">
        <f t="shared" si="4"/>
        <v>0</v>
      </c>
      <c r="H42" s="55">
        <f t="shared" si="5"/>
        <v>0</v>
      </c>
      <c r="I42" s="55">
        <f>G42/G43*100</f>
        <v>0</v>
      </c>
    </row>
    <row r="43" spans="2:9" ht="11.25">
      <c r="B43" s="8" t="s">
        <v>347</v>
      </c>
      <c r="C43" s="59">
        <f aca="true" t="shared" si="6" ref="C43:I43">SUM(C36:C42)</f>
        <v>69439</v>
      </c>
      <c r="D43" s="59">
        <f t="shared" si="6"/>
        <v>87624</v>
      </c>
      <c r="E43" s="59">
        <f t="shared" si="6"/>
        <v>100</v>
      </c>
      <c r="F43" s="59">
        <f t="shared" si="6"/>
        <v>100.00000000000001</v>
      </c>
      <c r="G43" s="59">
        <f t="shared" si="6"/>
        <v>18185</v>
      </c>
      <c r="H43" s="59">
        <f t="shared" si="6"/>
        <v>6.217248937900877E-15</v>
      </c>
      <c r="I43" s="59">
        <f t="shared" si="6"/>
        <v>100.00000000000001</v>
      </c>
    </row>
    <row r="46" ht="12.75">
      <c r="B46" s="3" t="s">
        <v>26</v>
      </c>
    </row>
    <row r="48" spans="2:9" ht="38.25" customHeight="1">
      <c r="B48" s="585" t="s">
        <v>318</v>
      </c>
      <c r="C48" s="588" t="s">
        <v>354</v>
      </c>
      <c r="D48" s="589"/>
      <c r="E48" s="588" t="s">
        <v>360</v>
      </c>
      <c r="F48" s="589"/>
      <c r="G48" s="588" t="s">
        <v>321</v>
      </c>
      <c r="H48" s="592"/>
      <c r="I48" s="589"/>
    </row>
    <row r="49" spans="2:9" ht="33.75">
      <c r="B49" s="587"/>
      <c r="C49" s="4" t="s">
        <v>322</v>
      </c>
      <c r="D49" s="5" t="s">
        <v>323</v>
      </c>
      <c r="E49" s="5" t="s">
        <v>322</v>
      </c>
      <c r="F49" s="5" t="s">
        <v>323</v>
      </c>
      <c r="G49" s="5" t="s">
        <v>324</v>
      </c>
      <c r="H49" s="5" t="s">
        <v>325</v>
      </c>
      <c r="I49" s="5" t="s">
        <v>382</v>
      </c>
    </row>
    <row r="50" spans="2:9" ht="22.5">
      <c r="B50" s="48" t="s">
        <v>348</v>
      </c>
      <c r="C50" s="55">
        <f>C14</f>
        <v>51776</v>
      </c>
      <c r="D50" s="55">
        <f>D14</f>
        <v>53054</v>
      </c>
      <c r="E50" s="55">
        <f>C50/C52*100</f>
        <v>36.75367174689259</v>
      </c>
      <c r="F50" s="55">
        <f>D50/D52*100</f>
        <v>34.21690787606738</v>
      </c>
      <c r="G50" s="55">
        <f>D50-C50</f>
        <v>1278</v>
      </c>
      <c r="H50" s="55">
        <f>F50-E50</f>
        <v>-2.5367638708252116</v>
      </c>
      <c r="I50" s="55">
        <f>G50/G52*100</f>
        <v>9.013329571902108</v>
      </c>
    </row>
    <row r="51" spans="2:9" ht="22.5">
      <c r="B51" s="48" t="s">
        <v>349</v>
      </c>
      <c r="C51" s="55">
        <f>C28</f>
        <v>89097</v>
      </c>
      <c r="D51" s="55">
        <f>D28</f>
        <v>101998</v>
      </c>
      <c r="E51" s="55">
        <f>C51/C52*100</f>
        <v>63.24632825310741</v>
      </c>
      <c r="F51" s="55">
        <f>D51/D52*100</f>
        <v>65.78309212393262</v>
      </c>
      <c r="G51" s="55">
        <f>D51-C51</f>
        <v>12901</v>
      </c>
      <c r="H51" s="55">
        <f>F51-E51</f>
        <v>2.5367638708252116</v>
      </c>
      <c r="I51" s="55">
        <f>G51/G52*100</f>
        <v>90.9866704280979</v>
      </c>
    </row>
    <row r="52" spans="2:9" ht="11.25">
      <c r="B52" s="8" t="s">
        <v>350</v>
      </c>
      <c r="C52" s="59">
        <f aca="true" t="shared" si="7" ref="C52:I52">SUM(C50:C51)</f>
        <v>140873</v>
      </c>
      <c r="D52" s="59">
        <f t="shared" si="7"/>
        <v>155052</v>
      </c>
      <c r="E52" s="59">
        <f t="shared" si="7"/>
        <v>100</v>
      </c>
      <c r="F52" s="59">
        <f t="shared" si="7"/>
        <v>100</v>
      </c>
      <c r="G52" s="59">
        <f t="shared" si="7"/>
        <v>14179</v>
      </c>
      <c r="H52" s="59">
        <f t="shared" si="7"/>
        <v>0</v>
      </c>
      <c r="I52" s="59">
        <f t="shared" si="7"/>
        <v>100</v>
      </c>
    </row>
    <row r="53" spans="2:9" ht="33.75">
      <c r="B53" s="2" t="s">
        <v>351</v>
      </c>
      <c r="C53" s="60">
        <f>C51/C50</f>
        <v>1.7208165945611866</v>
      </c>
      <c r="D53" s="60">
        <f>D51/D50</f>
        <v>1.9225317600934897</v>
      </c>
      <c r="E53" s="61"/>
      <c r="F53" s="61"/>
      <c r="G53" s="61"/>
      <c r="H53" s="61"/>
      <c r="I53" s="61"/>
    </row>
    <row r="56" ht="12.75">
      <c r="B56" s="3" t="s">
        <v>451</v>
      </c>
    </row>
    <row r="58" spans="2:9" ht="31.5" customHeight="1">
      <c r="B58" s="594" t="s">
        <v>318</v>
      </c>
      <c r="C58" s="596" t="s">
        <v>354</v>
      </c>
      <c r="D58" s="597"/>
      <c r="E58" s="596" t="s">
        <v>362</v>
      </c>
      <c r="F58" s="597"/>
      <c r="G58" s="596" t="s">
        <v>321</v>
      </c>
      <c r="H58" s="598"/>
      <c r="I58" s="597"/>
    </row>
    <row r="59" spans="2:9" ht="45.75" customHeight="1">
      <c r="B59" s="595"/>
      <c r="C59" s="6" t="s">
        <v>352</v>
      </c>
      <c r="D59" s="7" t="s">
        <v>353</v>
      </c>
      <c r="E59" s="7" t="s">
        <v>352</v>
      </c>
      <c r="F59" s="7" t="s">
        <v>353</v>
      </c>
      <c r="G59" s="7" t="s">
        <v>324</v>
      </c>
      <c r="H59" s="7" t="s">
        <v>325</v>
      </c>
      <c r="I59" s="7" t="s">
        <v>381</v>
      </c>
    </row>
    <row r="60" spans="2:9" ht="11.25">
      <c r="B60" s="9" t="s">
        <v>363</v>
      </c>
      <c r="C60" s="55">
        <f>Данные!E69</f>
        <v>21800</v>
      </c>
      <c r="D60" s="55">
        <f>Данные!F69</f>
        <v>21800</v>
      </c>
      <c r="E60" s="55">
        <f>C60/C69*100</f>
        <v>24.442476090100797</v>
      </c>
      <c r="F60" s="55">
        <f>D60/D69*100</f>
        <v>17.78633552534961</v>
      </c>
      <c r="G60" s="55">
        <f aca="true" t="shared" si="8" ref="G60:G65">D60-C60</f>
        <v>0</v>
      </c>
      <c r="H60" s="55">
        <f aca="true" t="shared" si="9" ref="H60:H65">F60-E60</f>
        <v>-6.656140564751187</v>
      </c>
      <c r="I60" s="55">
        <f>G60/G69*100</f>
        <v>0</v>
      </c>
    </row>
    <row r="61" spans="2:9" ht="11.25">
      <c r="B61" s="2" t="s">
        <v>364</v>
      </c>
      <c r="C61" s="55">
        <f>Данные!E71</f>
        <v>9469</v>
      </c>
      <c r="D61" s="55">
        <f>Данные!F71</f>
        <v>9285</v>
      </c>
      <c r="E61" s="55">
        <f>C61/C69*100</f>
        <v>10.616780096200204</v>
      </c>
      <c r="F61" s="55">
        <f>D61/D69*100</f>
        <v>7.575510337287665</v>
      </c>
      <c r="G61" s="55">
        <f t="shared" si="8"/>
        <v>-184</v>
      </c>
      <c r="H61" s="55">
        <f t="shared" si="9"/>
        <v>-3.041269758912539</v>
      </c>
      <c r="I61" s="55">
        <f>G61/G69*100</f>
        <v>-0.5512778260478772</v>
      </c>
    </row>
    <row r="62" spans="2:9" ht="11.25">
      <c r="B62" s="2" t="s">
        <v>365</v>
      </c>
      <c r="C62" s="56">
        <f>Данные!E72</f>
        <v>0</v>
      </c>
      <c r="D62" s="56">
        <f>Данные!F72</f>
        <v>0</v>
      </c>
      <c r="E62" s="56">
        <f>C62/C69*100</f>
        <v>0</v>
      </c>
      <c r="F62" s="56">
        <f>D62/D69*100</f>
        <v>0</v>
      </c>
      <c r="G62" s="55">
        <f t="shared" si="8"/>
        <v>0</v>
      </c>
      <c r="H62" s="55">
        <f t="shared" si="9"/>
        <v>0</v>
      </c>
      <c r="I62" s="56">
        <f>G62/G69*100</f>
        <v>0</v>
      </c>
    </row>
    <row r="63" spans="2:9" ht="11.25">
      <c r="B63" s="2" t="s">
        <v>366</v>
      </c>
      <c r="C63" s="55">
        <f>Данные!E75</f>
        <v>0</v>
      </c>
      <c r="D63" s="55">
        <f>Данные!F75</f>
        <v>0</v>
      </c>
      <c r="E63" s="55">
        <f>C63/C69*100</f>
        <v>0</v>
      </c>
      <c r="F63" s="55">
        <f>D63/D69*100</f>
        <v>0</v>
      </c>
      <c r="G63" s="55">
        <f t="shared" si="8"/>
        <v>0</v>
      </c>
      <c r="H63" s="55">
        <f t="shared" si="9"/>
        <v>0</v>
      </c>
      <c r="I63" s="55">
        <f>G64/G69*100</f>
        <v>100.55127782604787</v>
      </c>
    </row>
    <row r="64" spans="2:9" ht="22.5">
      <c r="B64" s="9" t="s">
        <v>367</v>
      </c>
      <c r="C64" s="53">
        <f>Данные!E79+Данные!E78+Данные!E77+Данные!E80</f>
        <v>57920</v>
      </c>
      <c r="D64" s="53">
        <f>Данные!F79+Данные!F78+Данные!E77+Данные!F80</f>
        <v>91481</v>
      </c>
      <c r="E64" s="53">
        <f>C64/C69*100</f>
        <v>64.940743813699</v>
      </c>
      <c r="F64" s="53">
        <f>D64/D69*100</f>
        <v>74.63815413736272</v>
      </c>
      <c r="G64" s="55">
        <f t="shared" si="8"/>
        <v>33561</v>
      </c>
      <c r="H64" s="55">
        <f t="shared" si="9"/>
        <v>9.697410323663718</v>
      </c>
      <c r="I64" s="53">
        <f>G64/G69*100</f>
        <v>100.55127782604787</v>
      </c>
    </row>
    <row r="65" spans="2:9" ht="11.25">
      <c r="B65" s="9" t="s">
        <v>368</v>
      </c>
      <c r="C65" s="53">
        <f>Данные!E103</f>
        <v>0</v>
      </c>
      <c r="D65" s="53">
        <f>Данные!F103</f>
        <v>0</v>
      </c>
      <c r="E65" s="53">
        <f>C65/C69*100</f>
        <v>0</v>
      </c>
      <c r="F65" s="53">
        <f>D65/D69*100</f>
        <v>0</v>
      </c>
      <c r="G65" s="55">
        <f t="shared" si="8"/>
        <v>0</v>
      </c>
      <c r="H65" s="55">
        <f t="shared" si="9"/>
        <v>0</v>
      </c>
      <c r="I65" s="53">
        <f>G65/G69*100</f>
        <v>0</v>
      </c>
    </row>
    <row r="66" spans="2:9" ht="11.25">
      <c r="B66" s="11" t="s">
        <v>369</v>
      </c>
      <c r="C66" s="57"/>
      <c r="D66" s="57"/>
      <c r="E66" s="58"/>
      <c r="F66" s="58"/>
      <c r="G66" s="57"/>
      <c r="H66" s="57"/>
      <c r="I66" s="57"/>
    </row>
    <row r="67" spans="2:9" ht="22.5">
      <c r="B67" s="9" t="s">
        <v>370</v>
      </c>
      <c r="C67" s="53">
        <f>Данные!E39</f>
        <v>0</v>
      </c>
      <c r="D67" s="53">
        <f>Данные!F39</f>
        <v>0</v>
      </c>
      <c r="E67" s="53">
        <f>D67-C67</f>
        <v>0</v>
      </c>
      <c r="F67" s="53">
        <f>D67/D69*100</f>
        <v>0</v>
      </c>
      <c r="G67" s="53">
        <f>D67-C67</f>
        <v>0</v>
      </c>
      <c r="H67" s="53">
        <f>F67-E67</f>
        <v>0</v>
      </c>
      <c r="I67" s="53">
        <f>G67/G69*100</f>
        <v>0</v>
      </c>
    </row>
    <row r="68" spans="2:9" ht="24.75" customHeight="1">
      <c r="B68" s="9" t="s">
        <v>371</v>
      </c>
      <c r="C68" s="53">
        <f>Данные!E34</f>
        <v>0</v>
      </c>
      <c r="D68" s="53">
        <f>Данные!F34</f>
        <v>0</v>
      </c>
      <c r="E68" s="53">
        <f>D68-C68</f>
        <v>0</v>
      </c>
      <c r="F68" s="53">
        <f>D68/D69*100</f>
        <v>0</v>
      </c>
      <c r="G68" s="53">
        <f>D68-C68</f>
        <v>0</v>
      </c>
      <c r="H68" s="53">
        <f>F68-E68</f>
        <v>0</v>
      </c>
      <c r="I68" s="53">
        <f>G68/G69*100</f>
        <v>0</v>
      </c>
    </row>
    <row r="69" spans="2:9" ht="24.75" customHeight="1">
      <c r="B69" s="12" t="s">
        <v>730</v>
      </c>
      <c r="C69" s="54">
        <f>SUM(C60:C65)-C67-C68</f>
        <v>89189</v>
      </c>
      <c r="D69" s="54">
        <f>SUM(D60:D65)-D67-D68</f>
        <v>122566</v>
      </c>
      <c r="E69" s="54">
        <f>SUM(E60:E68)</f>
        <v>100</v>
      </c>
      <c r="F69" s="54">
        <f>SUM(F60:F68)</f>
        <v>100</v>
      </c>
      <c r="G69" s="54">
        <f>SUM(G60:G68)</f>
        <v>33377</v>
      </c>
      <c r="H69" s="54">
        <f>SUM(H60:H68)</f>
        <v>-7.105427357601002E-15</v>
      </c>
      <c r="I69" s="54">
        <f>SUM(I60:J68)</f>
        <v>200.55127782604785</v>
      </c>
    </row>
    <row r="70" ht="11.25">
      <c r="B70" s="1" t="s">
        <v>729</v>
      </c>
    </row>
    <row r="72" ht="12.75">
      <c r="B72" s="3" t="s">
        <v>27</v>
      </c>
    </row>
    <row r="74" spans="2:9" ht="36" customHeight="1">
      <c r="B74" s="594" t="s">
        <v>318</v>
      </c>
      <c r="C74" s="596" t="s">
        <v>354</v>
      </c>
      <c r="D74" s="597"/>
      <c r="E74" s="596" t="s">
        <v>372</v>
      </c>
      <c r="F74" s="597"/>
      <c r="G74" s="596" t="s">
        <v>321</v>
      </c>
      <c r="H74" s="598"/>
      <c r="I74" s="597"/>
    </row>
    <row r="75" spans="2:9" ht="33.75">
      <c r="B75" s="595"/>
      <c r="C75" s="6" t="s">
        <v>352</v>
      </c>
      <c r="D75" s="7" t="s">
        <v>353</v>
      </c>
      <c r="E75" s="7" t="s">
        <v>352</v>
      </c>
      <c r="F75" s="7" t="s">
        <v>353</v>
      </c>
      <c r="G75" s="7" t="s">
        <v>324</v>
      </c>
      <c r="H75" s="7" t="s">
        <v>325</v>
      </c>
      <c r="I75" s="7" t="s">
        <v>380</v>
      </c>
    </row>
    <row r="76" spans="2:9" ht="11.25">
      <c r="B76" s="50" t="s">
        <v>373</v>
      </c>
      <c r="C76" s="53">
        <f>Данные!E83</f>
        <v>306</v>
      </c>
      <c r="D76" s="53">
        <f>Данные!F83</f>
        <v>306</v>
      </c>
      <c r="E76" s="53">
        <f>C76/C84*100</f>
        <v>0.7041767345529858</v>
      </c>
      <c r="F76" s="53">
        <f>D76/D84*100</f>
        <v>0.994410503054725</v>
      </c>
      <c r="G76" s="53">
        <f>D76-C76</f>
        <v>0</v>
      </c>
      <c r="H76" s="53">
        <f>F76-E76</f>
        <v>0.2902337685017392</v>
      </c>
      <c r="I76" s="53">
        <f>G76/G84*100</f>
        <v>0</v>
      </c>
    </row>
    <row r="77" spans="2:9" ht="22.5">
      <c r="B77" s="50" t="s">
        <v>566</v>
      </c>
      <c r="C77" s="53">
        <f>Данные!E87</f>
        <v>4311</v>
      </c>
      <c r="D77" s="53">
        <f>Данные!F87</f>
        <v>505</v>
      </c>
      <c r="E77" s="53">
        <f>C77/C84*100</f>
        <v>9.920607525025888</v>
      </c>
      <c r="F77" s="53">
        <f>D77/D84*100</f>
        <v>1.6411023007929286</v>
      </c>
      <c r="G77" s="53">
        <f aca="true" t="shared" si="10" ref="G77:G83">D77-C77</f>
        <v>-3806</v>
      </c>
      <c r="H77" s="53">
        <f aca="true" t="shared" si="11" ref="H77:H83">F77-E77</f>
        <v>-8.27950522423296</v>
      </c>
      <c r="I77" s="53">
        <f>G77/G84*100</f>
        <v>30.008673026886385</v>
      </c>
    </row>
    <row r="78" spans="2:9" ht="11.25">
      <c r="B78" s="50" t="s">
        <v>374</v>
      </c>
      <c r="C78" s="53">
        <f>Данные!E90</f>
        <v>25000</v>
      </c>
      <c r="D78" s="53">
        <f>Данные!F90</f>
        <v>16327</v>
      </c>
      <c r="E78" s="53">
        <f>C78/C84*100</f>
        <v>57.53077896674721</v>
      </c>
      <c r="F78" s="53">
        <f>D78/D84*100</f>
        <v>53.05797478226959</v>
      </c>
      <c r="G78" s="53">
        <f t="shared" si="10"/>
        <v>-8673</v>
      </c>
      <c r="H78" s="53">
        <f t="shared" si="11"/>
        <v>-4.472804184477617</v>
      </c>
      <c r="I78" s="53">
        <f>G78/G84*100</f>
        <v>68.38287471418434</v>
      </c>
    </row>
    <row r="79" spans="2:9" ht="22.5">
      <c r="B79" s="50" t="s">
        <v>375</v>
      </c>
      <c r="C79" s="53">
        <f>Данные!E93</f>
        <v>13838</v>
      </c>
      <c r="D79" s="53">
        <f>Данные!F93</f>
        <v>13634</v>
      </c>
      <c r="E79" s="53">
        <f>C79/C84*100</f>
        <v>31.844436773673916</v>
      </c>
      <c r="F79" s="53">
        <f>D79/D84*100</f>
        <v>44.30651241388275</v>
      </c>
      <c r="G79" s="53">
        <f t="shared" si="10"/>
        <v>-204</v>
      </c>
      <c r="H79" s="53">
        <f t="shared" si="11"/>
        <v>12.462075640208834</v>
      </c>
      <c r="I79" s="53">
        <f>G79/G84*100</f>
        <v>1.6084522589292753</v>
      </c>
    </row>
    <row r="80" spans="2:9" ht="11.25">
      <c r="B80" s="50" t="s">
        <v>376</v>
      </c>
      <c r="C80" s="53">
        <f>Данные!E102</f>
        <v>0</v>
      </c>
      <c r="D80" s="53">
        <f>Данные!F102</f>
        <v>0</v>
      </c>
      <c r="E80" s="53">
        <f>C80/C84*100</f>
        <v>0</v>
      </c>
      <c r="F80" s="53">
        <f>D80/D84*100</f>
        <v>0</v>
      </c>
      <c r="G80" s="53">
        <f t="shared" si="10"/>
        <v>0</v>
      </c>
      <c r="H80" s="53">
        <f t="shared" si="11"/>
        <v>0</v>
      </c>
      <c r="I80" s="53">
        <f>G80/G84*100</f>
        <v>0</v>
      </c>
    </row>
    <row r="81" spans="2:9" ht="11.25">
      <c r="B81" s="50" t="s">
        <v>377</v>
      </c>
      <c r="C81" s="53">
        <f>Данные!E104</f>
        <v>0</v>
      </c>
      <c r="D81" s="53">
        <f>Данные!F104</f>
        <v>0</v>
      </c>
      <c r="E81" s="53">
        <f>C81/C84*100</f>
        <v>0</v>
      </c>
      <c r="F81" s="53">
        <f>D81/D84*100</f>
        <v>0</v>
      </c>
      <c r="G81" s="53">
        <f t="shared" si="10"/>
        <v>0</v>
      </c>
      <c r="H81" s="53">
        <f t="shared" si="11"/>
        <v>0</v>
      </c>
      <c r="I81" s="53">
        <f>G81/G84*100</f>
        <v>0</v>
      </c>
    </row>
    <row r="82" spans="2:9" ht="22.5">
      <c r="B82" s="50" t="s">
        <v>567</v>
      </c>
      <c r="C82" s="53">
        <f>Данные!E105</f>
        <v>0</v>
      </c>
      <c r="D82" s="53">
        <f>Данные!F105</f>
        <v>0</v>
      </c>
      <c r="E82" s="53">
        <f>C82/C84*100</f>
        <v>0</v>
      </c>
      <c r="F82" s="53">
        <f>D82/D84*100</f>
        <v>0</v>
      </c>
      <c r="G82" s="53">
        <f t="shared" si="10"/>
        <v>0</v>
      </c>
      <c r="H82" s="53">
        <f t="shared" si="11"/>
        <v>0</v>
      </c>
      <c r="I82" s="53">
        <f>G82/G84*100</f>
        <v>0</v>
      </c>
    </row>
    <row r="83" spans="2:9" ht="22.5">
      <c r="B83" s="50" t="s">
        <v>378</v>
      </c>
      <c r="C83" s="53">
        <f>Данные!E76</f>
        <v>0</v>
      </c>
      <c r="D83" s="53">
        <f>Данные!F76</f>
        <v>0</v>
      </c>
      <c r="E83" s="53">
        <f>C83/C84*100</f>
        <v>0</v>
      </c>
      <c r="F83" s="53">
        <f>D83/D84*100</f>
        <v>0</v>
      </c>
      <c r="G83" s="53">
        <f t="shared" si="10"/>
        <v>0</v>
      </c>
      <c r="H83" s="53">
        <f t="shared" si="11"/>
        <v>0</v>
      </c>
      <c r="I83" s="53">
        <f>G83/G84*100</f>
        <v>0</v>
      </c>
    </row>
    <row r="84" spans="2:9" ht="22.5">
      <c r="B84" s="52" t="s">
        <v>379</v>
      </c>
      <c r="C84" s="54">
        <f aca="true" t="shared" si="12" ref="C84:I84">SUM(C76:C83)</f>
        <v>43455</v>
      </c>
      <c r="D84" s="54">
        <f t="shared" si="12"/>
        <v>30772</v>
      </c>
      <c r="E84" s="54">
        <f t="shared" si="12"/>
        <v>100</v>
      </c>
      <c r="F84" s="54">
        <f t="shared" si="12"/>
        <v>100</v>
      </c>
      <c r="G84" s="54">
        <f t="shared" si="12"/>
        <v>-12683</v>
      </c>
      <c r="H84" s="54">
        <f t="shared" si="12"/>
        <v>-3.552713678800501E-15</v>
      </c>
      <c r="I84" s="54">
        <f t="shared" si="12"/>
        <v>100</v>
      </c>
    </row>
    <row r="87" ht="12.75">
      <c r="B87" s="3" t="s">
        <v>28</v>
      </c>
    </row>
    <row r="89" spans="2:9" ht="36.75" customHeight="1">
      <c r="B89" s="594" t="s">
        <v>318</v>
      </c>
      <c r="C89" s="596" t="s">
        <v>354</v>
      </c>
      <c r="D89" s="597"/>
      <c r="E89" s="596" t="s">
        <v>568</v>
      </c>
      <c r="F89" s="597"/>
      <c r="G89" s="596" t="s">
        <v>321</v>
      </c>
      <c r="H89" s="598"/>
      <c r="I89" s="597"/>
    </row>
    <row r="90" spans="2:9" ht="41.25" customHeight="1">
      <c r="B90" s="595"/>
      <c r="C90" s="6" t="s">
        <v>352</v>
      </c>
      <c r="D90" s="7" t="s">
        <v>353</v>
      </c>
      <c r="E90" s="7" t="s">
        <v>352</v>
      </c>
      <c r="F90" s="7" t="s">
        <v>353</v>
      </c>
      <c r="G90" s="7" t="s">
        <v>324</v>
      </c>
      <c r="H90" s="7" t="s">
        <v>325</v>
      </c>
      <c r="I90" s="7" t="s">
        <v>569</v>
      </c>
    </row>
    <row r="91" spans="2:9" ht="11.25">
      <c r="B91" s="13" t="s">
        <v>383</v>
      </c>
      <c r="C91" s="53">
        <f>C69</f>
        <v>89189</v>
      </c>
      <c r="D91" s="53">
        <f>D69</f>
        <v>122566</v>
      </c>
      <c r="E91" s="53">
        <f>C91/C94*100</f>
        <v>63.31163530271947</v>
      </c>
      <c r="F91" s="53">
        <f>D91/D94*100</f>
        <v>79.04831927353403</v>
      </c>
      <c r="G91" s="53">
        <f>D91-C91</f>
        <v>33377</v>
      </c>
      <c r="H91" s="53">
        <f>F91-E91</f>
        <v>15.73668397081456</v>
      </c>
      <c r="I91" s="53">
        <f>G91/G94*100</f>
        <v>235.39741871782215</v>
      </c>
    </row>
    <row r="92" spans="2:9" ht="22.5">
      <c r="B92" s="13" t="s">
        <v>384</v>
      </c>
      <c r="C92" s="53">
        <f>Данные!E88</f>
        <v>12846</v>
      </c>
      <c r="D92" s="53">
        <f>Данные!F88</f>
        <v>2525</v>
      </c>
      <c r="E92" s="53">
        <f>C92/C94*100</f>
        <v>9.118851731701604</v>
      </c>
      <c r="F92" s="53">
        <f>D92/D94*100</f>
        <v>1.6284859273018082</v>
      </c>
      <c r="G92" s="53">
        <f>D92-C92</f>
        <v>-10321</v>
      </c>
      <c r="H92" s="53">
        <f>F92-E92</f>
        <v>-7.490365804399795</v>
      </c>
      <c r="I92" s="53">
        <f>G92/G94*100</f>
        <v>-72.79074687918752</v>
      </c>
    </row>
    <row r="93" spans="2:9" ht="22.5">
      <c r="B93" s="13" t="s">
        <v>385</v>
      </c>
      <c r="C93" s="53">
        <f>SUM(C78:C83)</f>
        <v>38838</v>
      </c>
      <c r="D93" s="53">
        <f>SUM(D78:D83)</f>
        <v>29961</v>
      </c>
      <c r="E93" s="53">
        <f>C93/C94*100</f>
        <v>27.569512965578923</v>
      </c>
      <c r="F93" s="53">
        <f>D93/D94*100</f>
        <v>19.32319479916415</v>
      </c>
      <c r="G93" s="53">
        <f>D93-C93</f>
        <v>-8877</v>
      </c>
      <c r="H93" s="53">
        <f>F93-E93</f>
        <v>-8.246318166414774</v>
      </c>
      <c r="I93" s="53">
        <f>G93/G94*100</f>
        <v>-62.6066718386346</v>
      </c>
    </row>
    <row r="94" spans="2:9" ht="11.25">
      <c r="B94" s="13" t="s">
        <v>386</v>
      </c>
      <c r="C94" s="53">
        <f aca="true" t="shared" si="13" ref="C94:I94">SUM(C91:C93)</f>
        <v>140873</v>
      </c>
      <c r="D94" s="53">
        <f t="shared" si="13"/>
        <v>155052</v>
      </c>
      <c r="E94" s="53">
        <f t="shared" si="13"/>
        <v>100</v>
      </c>
      <c r="F94" s="53">
        <f t="shared" si="13"/>
        <v>100</v>
      </c>
      <c r="G94" s="53">
        <f t="shared" si="13"/>
        <v>14179</v>
      </c>
      <c r="H94" s="53">
        <f t="shared" si="13"/>
        <v>0</v>
      </c>
      <c r="I94" s="53">
        <f t="shared" si="13"/>
        <v>100.00000000000001</v>
      </c>
    </row>
    <row r="95" spans="2:9" ht="22.5">
      <c r="B95" s="13" t="s">
        <v>388</v>
      </c>
      <c r="C95" s="65">
        <f>C91/C94</f>
        <v>0.6331163530271947</v>
      </c>
      <c r="D95" s="65">
        <f>D91/D94</f>
        <v>0.7904831927353404</v>
      </c>
      <c r="E95" s="10"/>
      <c r="F95" s="10"/>
      <c r="G95" s="10"/>
      <c r="H95" s="10"/>
      <c r="I95" s="10"/>
    </row>
    <row r="96" spans="2:9" ht="37.5" customHeight="1">
      <c r="B96" s="13" t="s">
        <v>570</v>
      </c>
      <c r="C96" s="65">
        <f>(C92+C93)/C91</f>
        <v>0.5794885019453072</v>
      </c>
      <c r="D96" s="65">
        <f>(D92+D93)/D91</f>
        <v>0.2650490348057373</v>
      </c>
      <c r="E96" s="10"/>
      <c r="F96" s="10"/>
      <c r="G96" s="10"/>
      <c r="H96" s="10"/>
      <c r="I96" s="10"/>
    </row>
    <row r="97" spans="2:9" ht="47.25" customHeight="1">
      <c r="B97" s="13" t="s">
        <v>389</v>
      </c>
      <c r="C97" s="65">
        <f>C93/(C91+C92)</f>
        <v>0.3806340961434802</v>
      </c>
      <c r="D97" s="65">
        <f>D93/(D91+D92)</f>
        <v>0.23951363407439383</v>
      </c>
      <c r="E97" s="10"/>
      <c r="F97" s="10"/>
      <c r="G97" s="10"/>
      <c r="H97" s="10"/>
      <c r="I97" s="10"/>
    </row>
  </sheetData>
  <sheetProtection/>
  <mergeCells count="31">
    <mergeCell ref="C33:D33"/>
    <mergeCell ref="C34:D34"/>
    <mergeCell ref="E33:F34"/>
    <mergeCell ref="B4:B6"/>
    <mergeCell ref="C4:D4"/>
    <mergeCell ref="C5:D5"/>
    <mergeCell ref="E4:F5"/>
    <mergeCell ref="G33:I34"/>
    <mergeCell ref="B48:B49"/>
    <mergeCell ref="C48:D48"/>
    <mergeCell ref="E48:F48"/>
    <mergeCell ref="G48:I48"/>
    <mergeCell ref="B33:B35"/>
    <mergeCell ref="B58:B59"/>
    <mergeCell ref="C58:D58"/>
    <mergeCell ref="E58:F58"/>
    <mergeCell ref="G58:I58"/>
    <mergeCell ref="G4:I5"/>
    <mergeCell ref="B19:B21"/>
    <mergeCell ref="C19:D19"/>
    <mergeCell ref="C20:D20"/>
    <mergeCell ref="E19:F20"/>
    <mergeCell ref="G19:I20"/>
    <mergeCell ref="B89:B90"/>
    <mergeCell ref="C89:D89"/>
    <mergeCell ref="E89:F89"/>
    <mergeCell ref="G89:I89"/>
    <mergeCell ref="B74:B75"/>
    <mergeCell ref="C74:D74"/>
    <mergeCell ref="E74:F74"/>
    <mergeCell ref="G74:I74"/>
  </mergeCells>
  <printOptions/>
  <pageMargins left="0.75" right="0.75" top="1" bottom="1" header="0.5" footer="0.5"/>
  <pageSetup horizontalDpi="300" verticalDpi="300" orientation="landscape" paperSize="9" scale="93" r:id="rId1"/>
  <rowBreaks count="4" manualBreakCount="4">
    <brk id="16" max="255" man="1"/>
    <brk id="45" max="255" man="1"/>
    <brk id="71" max="255" man="1"/>
    <brk id="86" max="255" man="1"/>
  </rowBreaks>
</worksheet>
</file>

<file path=xl/worksheets/sheet9.xml><?xml version="1.0" encoding="utf-8"?>
<worksheet xmlns="http://schemas.openxmlformats.org/spreadsheetml/2006/main" xmlns:r="http://schemas.openxmlformats.org/officeDocument/2006/relationships">
  <dimension ref="A1:E26"/>
  <sheetViews>
    <sheetView zoomScaleSheetLayoutView="100" zoomScalePageLayoutView="0" workbookViewId="0" topLeftCell="A13">
      <selection activeCell="E4" sqref="E4"/>
    </sheetView>
  </sheetViews>
  <sheetFormatPr defaultColWidth="9.00390625" defaultRowHeight="12.75"/>
  <cols>
    <col min="1" max="1" width="44.125" style="0" customWidth="1"/>
  </cols>
  <sheetData>
    <row r="1" ht="12.75">
      <c r="A1" s="471" t="s">
        <v>609</v>
      </c>
    </row>
    <row r="2" ht="12.75">
      <c r="A2" s="471"/>
    </row>
    <row r="3" spans="1:5" ht="26.25" customHeight="1">
      <c r="A3" s="411" t="s">
        <v>742</v>
      </c>
      <c r="B3" s="356">
        <v>37987</v>
      </c>
      <c r="C3" s="356">
        <v>37622</v>
      </c>
      <c r="D3" s="356">
        <v>37987</v>
      </c>
      <c r="E3" s="356">
        <v>38353</v>
      </c>
    </row>
    <row r="4" spans="1:5" ht="12.75">
      <c r="A4" s="357" t="s">
        <v>743</v>
      </c>
      <c r="B4" s="412"/>
      <c r="C4" s="412"/>
      <c r="D4" s="412"/>
      <c r="E4" s="412"/>
    </row>
    <row r="5" spans="1:5" ht="12.75">
      <c r="A5" s="413" t="s">
        <v>744</v>
      </c>
      <c r="B5" s="407">
        <f>Данные!C6</f>
        <v>0</v>
      </c>
      <c r="C5" s="407">
        <f>Данные!D6</f>
        <v>0</v>
      </c>
      <c r="D5" s="407">
        <f>Данные!E6</f>
        <v>0</v>
      </c>
      <c r="E5" s="407">
        <f>Данные!F6</f>
        <v>0</v>
      </c>
    </row>
    <row r="6" spans="1:5" ht="12.75">
      <c r="A6" s="413" t="s">
        <v>745</v>
      </c>
      <c r="B6" s="407">
        <f>Данные!C7</f>
        <v>73257</v>
      </c>
      <c r="C6" s="407">
        <f>Данные!D7</f>
        <v>77374</v>
      </c>
      <c r="D6" s="407">
        <f>Данные!E7</f>
        <v>45089</v>
      </c>
      <c r="E6" s="407">
        <f>Данные!F7</f>
        <v>53052</v>
      </c>
    </row>
    <row r="7" spans="1:5" ht="12.75">
      <c r="A7" s="413" t="s">
        <v>746</v>
      </c>
      <c r="B7" s="407">
        <f>Данные!C8</f>
        <v>1060</v>
      </c>
      <c r="C7" s="407">
        <f>Данные!D8</f>
        <v>896</v>
      </c>
      <c r="D7" s="407">
        <f>Данные!E8</f>
        <v>6685</v>
      </c>
      <c r="E7" s="407">
        <f>Данные!F8</f>
        <v>0</v>
      </c>
    </row>
    <row r="8" spans="1:5" ht="12.75">
      <c r="A8" s="413" t="s">
        <v>747</v>
      </c>
      <c r="B8" s="407">
        <f>Данные!C9</f>
        <v>0</v>
      </c>
      <c r="C8" s="407">
        <f>Данные!D9</f>
        <v>0</v>
      </c>
      <c r="D8" s="407">
        <f>Данные!E9</f>
        <v>0</v>
      </c>
      <c r="E8" s="407">
        <f>Данные!F9</f>
        <v>0</v>
      </c>
    </row>
    <row r="9" spans="1:5" ht="14.25" customHeight="1">
      <c r="A9" s="413" t="s">
        <v>748</v>
      </c>
      <c r="B9" s="408">
        <f>Данные!C10+Данные!C37</f>
        <v>2</v>
      </c>
      <c r="C9" s="408">
        <f>Данные!D10+Данные!D37</f>
        <v>2</v>
      </c>
      <c r="D9" s="408">
        <f>Данные!E10+Данные!E37</f>
        <v>2</v>
      </c>
      <c r="E9" s="408">
        <f>Данные!F10+Данные!F37</f>
        <v>2</v>
      </c>
    </row>
    <row r="10" spans="1:5" ht="12.75">
      <c r="A10" s="413" t="s">
        <v>749</v>
      </c>
      <c r="B10" s="408">
        <f>Данные!C12+Данные!C11</f>
        <v>0</v>
      </c>
      <c r="C10" s="408">
        <f>Данные!D12+Данные!D11</f>
        <v>0</v>
      </c>
      <c r="D10" s="408">
        <f>Данные!E12+Данные!E11</f>
        <v>0</v>
      </c>
      <c r="E10" s="408">
        <f>Данные!F12+Данные!F11</f>
        <v>0</v>
      </c>
    </row>
    <row r="11" spans="1:5" ht="12.75">
      <c r="A11" s="413" t="s">
        <v>750</v>
      </c>
      <c r="B11" s="408">
        <f>Данные!C15</f>
        <v>41599</v>
      </c>
      <c r="C11" s="408">
        <f>Данные!D15</f>
        <v>53651</v>
      </c>
      <c r="D11" s="408">
        <f>Данные!E15</f>
        <v>69439</v>
      </c>
      <c r="E11" s="408">
        <f>Данные!F15</f>
        <v>87624</v>
      </c>
    </row>
    <row r="12" spans="1:5" ht="12.75">
      <c r="A12" s="413" t="s">
        <v>751</v>
      </c>
      <c r="B12" s="408">
        <f>Данные!C23</f>
        <v>2137</v>
      </c>
      <c r="C12" s="408">
        <f>Данные!D23</f>
        <v>2433</v>
      </c>
      <c r="D12" s="408">
        <f>Данные!E23</f>
        <v>2024</v>
      </c>
      <c r="E12" s="408">
        <f>Данные!F23</f>
        <v>0</v>
      </c>
    </row>
    <row r="13" spans="1:5" ht="12.75">
      <c r="A13" s="413" t="s">
        <v>752</v>
      </c>
      <c r="B13" s="408">
        <f>Данные!C24+Данные!C30</f>
        <v>5433</v>
      </c>
      <c r="C13" s="408">
        <f>Данные!D24+Данные!D30</f>
        <v>11979</v>
      </c>
      <c r="D13" s="408">
        <f>Данные!E24+Данные!E30</f>
        <v>9389</v>
      </c>
      <c r="E13" s="408">
        <f>Данные!F24+Данные!F30</f>
        <v>13844</v>
      </c>
    </row>
    <row r="14" spans="1:5" ht="12.75">
      <c r="A14" s="413" t="s">
        <v>753</v>
      </c>
      <c r="B14" s="408">
        <f>Данные!C41</f>
        <v>564</v>
      </c>
      <c r="C14" s="408">
        <f>Данные!D41</f>
        <v>200</v>
      </c>
      <c r="D14" s="408">
        <f>Данные!E41</f>
        <v>8245</v>
      </c>
      <c r="E14" s="408">
        <f>Данные!F41</f>
        <v>530</v>
      </c>
    </row>
    <row r="15" spans="1:5" ht="12.75">
      <c r="A15" s="413" t="s">
        <v>754</v>
      </c>
      <c r="B15" s="408">
        <f>Данные!C46</f>
        <v>0</v>
      </c>
      <c r="C15" s="408">
        <f>Данные!D46</f>
        <v>0</v>
      </c>
      <c r="D15" s="408">
        <f>Данные!E46</f>
        <v>0</v>
      </c>
      <c r="E15" s="408">
        <f>Данные!F46</f>
        <v>0</v>
      </c>
    </row>
    <row r="16" spans="1:5" ht="22.5">
      <c r="A16" s="413" t="s">
        <v>755</v>
      </c>
      <c r="B16" s="408">
        <f>SUM(B5:B15)</f>
        <v>124052</v>
      </c>
      <c r="C16" s="408">
        <f>SUM(C5:C15)</f>
        <v>146535</v>
      </c>
      <c r="D16" s="408">
        <f>SUM(D5:D15)</f>
        <v>140873</v>
      </c>
      <c r="E16" s="408">
        <f>SUM(E5:E15)</f>
        <v>155052</v>
      </c>
    </row>
    <row r="17" spans="1:5" ht="12.75">
      <c r="A17" s="414" t="s">
        <v>756</v>
      </c>
      <c r="B17" s="415"/>
      <c r="C17" s="415"/>
      <c r="D17" s="415"/>
      <c r="E17" s="416"/>
    </row>
    <row r="18" spans="1:5" ht="12.75">
      <c r="A18" s="102" t="s">
        <v>757</v>
      </c>
      <c r="B18" s="408">
        <f>Данные!C83</f>
        <v>306</v>
      </c>
      <c r="C18" s="408">
        <f>Данные!D83</f>
        <v>306</v>
      </c>
      <c r="D18" s="408">
        <f>Данные!E83</f>
        <v>306</v>
      </c>
      <c r="E18" s="408">
        <f>Данные!F83</f>
        <v>306</v>
      </c>
    </row>
    <row r="19" spans="1:5" ht="12.75">
      <c r="A19" s="102" t="s">
        <v>758</v>
      </c>
      <c r="B19" s="408">
        <f>Данные!C86+Данные!C87+Данные!C76</f>
        <v>5014</v>
      </c>
      <c r="C19" s="408">
        <f>Данные!D86+Данные!D87+Данные!D76</f>
        <v>6272</v>
      </c>
      <c r="D19" s="408">
        <f>Данные!E86+Данные!E87+Данные!E76</f>
        <v>12540</v>
      </c>
      <c r="E19" s="408">
        <f>Данные!F86+Данные!F87+Данные!F76</f>
        <v>2219</v>
      </c>
    </row>
    <row r="20" spans="1:5" ht="12" customHeight="1">
      <c r="A20" s="102" t="s">
        <v>759</v>
      </c>
      <c r="B20" s="408">
        <f>Данные!C90</f>
        <v>786</v>
      </c>
      <c r="C20" s="408">
        <f>Данные!D90</f>
        <v>5898</v>
      </c>
      <c r="D20" s="408">
        <f>Данные!E90</f>
        <v>25000</v>
      </c>
      <c r="E20" s="408">
        <f>Данные!F90</f>
        <v>16327</v>
      </c>
    </row>
    <row r="21" spans="1:5" ht="12.75">
      <c r="A21" s="102" t="s">
        <v>760</v>
      </c>
      <c r="B21" s="408">
        <f>Данные!C93</f>
        <v>21795</v>
      </c>
      <c r="C21" s="408">
        <f>Данные!D93</f>
        <v>23626</v>
      </c>
      <c r="D21" s="408">
        <f>Данные!E93</f>
        <v>13838</v>
      </c>
      <c r="E21" s="408">
        <f>Данные!F93</f>
        <v>13634</v>
      </c>
    </row>
    <row r="22" spans="1:5" ht="22.5">
      <c r="A22" s="102" t="s">
        <v>761</v>
      </c>
      <c r="B22" s="408">
        <f>Данные!C102</f>
        <v>0</v>
      </c>
      <c r="C22" s="408">
        <f>Данные!D102</f>
        <v>0</v>
      </c>
      <c r="D22" s="408">
        <f>Данные!E102</f>
        <v>0</v>
      </c>
      <c r="E22" s="408">
        <f>Данные!F102</f>
        <v>0</v>
      </c>
    </row>
    <row r="23" spans="1:5" ht="12.75">
      <c r="A23" s="102" t="s">
        <v>762</v>
      </c>
      <c r="B23" s="408">
        <f>Данные!C104</f>
        <v>0</v>
      </c>
      <c r="C23" s="408">
        <f>Данные!D104</f>
        <v>0</v>
      </c>
      <c r="D23" s="408">
        <f>Данные!E104</f>
        <v>0</v>
      </c>
      <c r="E23" s="408">
        <f>Данные!F104</f>
        <v>0</v>
      </c>
    </row>
    <row r="24" spans="1:5" ht="12.75">
      <c r="A24" s="102" t="s">
        <v>763</v>
      </c>
      <c r="B24" s="408">
        <f>Данные!C105</f>
        <v>0</v>
      </c>
      <c r="C24" s="408">
        <f>Данные!D105</f>
        <v>0</v>
      </c>
      <c r="D24" s="408">
        <f>Данные!E105</f>
        <v>0</v>
      </c>
      <c r="E24" s="408">
        <f>Данные!F105</f>
        <v>0</v>
      </c>
    </row>
    <row r="25" spans="1:5" ht="22.5">
      <c r="A25" s="102" t="s">
        <v>764</v>
      </c>
      <c r="B25" s="408">
        <f>SUM(B18:B24)</f>
        <v>27901</v>
      </c>
      <c r="C25" s="408">
        <f>SUM(C18:C24)</f>
        <v>36102</v>
      </c>
      <c r="D25" s="408">
        <f>SUM(D18:D24)</f>
        <v>51684</v>
      </c>
      <c r="E25" s="408">
        <f>SUM(E18:E24)</f>
        <v>32486</v>
      </c>
    </row>
    <row r="26" spans="1:5" ht="33.75">
      <c r="A26" s="409" t="s">
        <v>765</v>
      </c>
      <c r="B26" s="410">
        <f>B16-B25</f>
        <v>96151</v>
      </c>
      <c r="C26" s="410">
        <f>C16-C25</f>
        <v>110433</v>
      </c>
      <c r="D26" s="410">
        <f>D16-D25</f>
        <v>89189</v>
      </c>
      <c r="E26" s="410">
        <f>E16-E25</f>
        <v>122566</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dc:creator>
  <cp:keywords/>
  <dc:description/>
  <cp:lastModifiedBy>Bill</cp:lastModifiedBy>
  <cp:lastPrinted>2006-04-21T05:56:12Z</cp:lastPrinted>
  <dcterms:created xsi:type="dcterms:W3CDTF">2003-07-12T05:57:06Z</dcterms:created>
  <dcterms:modified xsi:type="dcterms:W3CDTF">2012-02-07T05:52:16Z</dcterms:modified>
  <cp:category/>
  <cp:version/>
  <cp:contentType/>
  <cp:contentStatus/>
</cp:coreProperties>
</file>