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870" activeTab="0"/>
  </bookViews>
  <sheets>
    <sheet name="Оценка" sheetId="1" r:id="rId1"/>
    <sheet name="Графики безубыточности" sheetId="2" r:id="rId2"/>
    <sheet name="% по кредиту -" sheetId="3" r:id="rId3"/>
    <sheet name="% по кредиту +" sheetId="4" r:id="rId4"/>
    <sheet name="Цена -" sheetId="5" r:id="rId5"/>
    <sheet name="Цена+" sheetId="6" r:id="rId6"/>
    <sheet name="Переменные расходы -" sheetId="7" r:id="rId7"/>
    <sheet name="Переменные расходы +" sheetId="8" r:id="rId8"/>
    <sheet name="Постоянные расходы -" sheetId="9" r:id="rId9"/>
    <sheet name="Постоянные расходы +" sheetId="10" r:id="rId10"/>
    <sheet name="Инвестиции (-)" sheetId="11" r:id="rId11"/>
    <sheet name="Инвестиции +" sheetId="12" r:id="rId12"/>
    <sheet name="Объем производства -" sheetId="13" r:id="rId13"/>
    <sheet name="Объем производства +" sheetId="14" r:id="rId14"/>
    <sheet name="Сценарий отрицательный" sheetId="15" r:id="rId15"/>
    <sheet name="Сценарий положительный" sheetId="16" r:id="rId16"/>
    <sheet name="Чувствительность" sheetId="17" r:id="rId17"/>
  </sheets>
  <definedNames/>
  <calcPr fullCalcOnLoad="1"/>
</workbook>
</file>

<file path=xl/sharedStrings.xml><?xml version="1.0" encoding="utf-8"?>
<sst xmlns="http://schemas.openxmlformats.org/spreadsheetml/2006/main" count="1497" uniqueCount="95">
  <si>
    <t>Базовый вариант</t>
  </si>
  <si>
    <t>Комплескная финансово-экономическая оценка проекта</t>
  </si>
  <si>
    <t>Показатели</t>
  </si>
  <si>
    <t>2006 г.</t>
  </si>
  <si>
    <t>2007 г.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</si>
  <si>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</si>
  <si>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</si>
  <si>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</si>
  <si>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</si>
  <si>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</si>
  <si>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</si>
  <si>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</si>
  <si>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</si>
  <si>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</si>
  <si>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</si>
  <si>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</si>
  <si>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Объем производства, тыс. тн:</t>
  </si>
  <si>
    <t>Томатный кетчуп</t>
  </si>
  <si>
    <t>Томаты консервированные</t>
  </si>
  <si>
    <t>Томатная паста</t>
  </si>
  <si>
    <t>Инвестиционный кредит, млн.д.е.</t>
  </si>
  <si>
    <t>Суммарная задолженность по инвестиционному кредиту, млн. д.е.</t>
  </si>
  <si>
    <t>Годовой темп роста цен</t>
  </si>
  <si>
    <t>Постоянные расходы, млн. д.е.:</t>
  </si>
  <si>
    <t>Переменные расходы, млн. д.е.:</t>
  </si>
  <si>
    <t>Переменные расходы на тонну продукции, д.е.:</t>
  </si>
  <si>
    <t>Валовые издержки, млн. д.е.:</t>
  </si>
  <si>
    <t>Доля видов продукции в общих издержках, %</t>
  </si>
  <si>
    <t>Издержки на тонну продукции, д.е.:</t>
  </si>
  <si>
    <t>Рентабельность, % к издержкам</t>
  </si>
  <si>
    <t>Цены на продукцию, д.е./тн:</t>
  </si>
  <si>
    <t>Выручка от реализации, млн. д.е. (без НДС):</t>
  </si>
  <si>
    <t>Валовая прибыль, млн. д.е.</t>
  </si>
  <si>
    <t>Налоги, млн. д.е.</t>
  </si>
  <si>
    <t>Проценты по инвест. кредиту, млн. д.е.</t>
  </si>
  <si>
    <t>Оборотный кредит, млн. д.е.</t>
  </si>
  <si>
    <t>Проценты по оборот. кредиту, млн. д.е.</t>
  </si>
  <si>
    <t>Прибыль (убыток) до налогообложения, млн. д.е.</t>
  </si>
  <si>
    <t>Налог на прибыль, млн. д.е.</t>
  </si>
  <si>
    <t>Чистая прибыль (убыток), млн. д.е.</t>
  </si>
  <si>
    <t>Амортизационные отчисления, млн. д.е.</t>
  </si>
  <si>
    <t>Текущий денежный поток, млн. д.е.</t>
  </si>
  <si>
    <t>Валовый денежный поток, млн. д.е.</t>
  </si>
  <si>
    <t>Коэффициент дисконтирования</t>
  </si>
  <si>
    <t>Дисконтированный текущий денежный поток, млн. д.е.</t>
  </si>
  <si>
    <t>Дисконтированный валовый денежный поток, млн. д.е.</t>
  </si>
  <si>
    <t>Дисконтированный объем инвестиций, млн. д.е.</t>
  </si>
  <si>
    <t>Валовый дисконтированный объем инвестиций, млн. д.е.</t>
  </si>
  <si>
    <t>NPV, млн. д.е.</t>
  </si>
  <si>
    <t>PI</t>
  </si>
  <si>
    <t>IRR, %</t>
  </si>
  <si>
    <t>ПРОДУКЦИЯ А</t>
  </si>
  <si>
    <t>Издержки:</t>
  </si>
  <si>
    <t>Постоянные издержки, млн.руб.</t>
  </si>
  <si>
    <t>Переменные издержки на тн, руб.</t>
  </si>
  <si>
    <t>Объем производства, тонн</t>
  </si>
  <si>
    <t>Постоянные издержки, млн. руб.</t>
  </si>
  <si>
    <t>Переменные издержки, млн. руб.</t>
  </si>
  <si>
    <t>Валовые издержки, млн. руб.</t>
  </si>
  <si>
    <t>Валовая выручка, млн. руб.</t>
  </si>
  <si>
    <t>Валовая прибыль, млн. руб.</t>
  </si>
  <si>
    <t>Рентабельность, %</t>
  </si>
  <si>
    <t>ПРОДУКЦИЯ Б</t>
  </si>
  <si>
    <t>ПРОДУКЦИЯ В</t>
  </si>
  <si>
    <t>Анализ чувствительности проекта</t>
  </si>
  <si>
    <t>Изменяемый показатель</t>
  </si>
  <si>
    <t>Величина изменения</t>
  </si>
  <si>
    <t>Валовая выручка от реализации, млн. руб. (без НДС)</t>
  </si>
  <si>
    <t>Прибыль (убыток) до налогообложения, млн. руб.</t>
  </si>
  <si>
    <t>Чистая прибыль (убыток), млн. руб.</t>
  </si>
  <si>
    <t>Валовый денежный поток, млн. руб.</t>
  </si>
  <si>
    <t>Срок окупаемости, лет</t>
  </si>
  <si>
    <t>DPB, лет</t>
  </si>
  <si>
    <t>NPV, млн. руб.</t>
  </si>
  <si>
    <t>базовый вариант</t>
  </si>
  <si>
    <t>-</t>
  </si>
  <si>
    <t>объем производства</t>
  </si>
  <si>
    <t>+10%</t>
  </si>
  <si>
    <t>инвестиции</t>
  </si>
  <si>
    <t>постоянные расходы</t>
  </si>
  <si>
    <t>переменные расходы</t>
  </si>
  <si>
    <t>цена</t>
  </si>
  <si>
    <t>&gt;15</t>
  </si>
  <si>
    <t>процентная ставка по кредитам</t>
  </si>
  <si>
    <t>Сценарный анализ</t>
  </si>
  <si>
    <t>наилучший сценарий:</t>
  </si>
  <si>
    <t>объем произ-ва</t>
  </si>
  <si>
    <t>пост. расходы</t>
  </si>
  <si>
    <t>перем. расходы</t>
  </si>
  <si>
    <t>процентная ставка</t>
  </si>
  <si>
    <t>наихудший сценарий:</t>
  </si>
  <si>
    <t>более 15 лет</t>
  </si>
  <si>
    <t>Наиболее вероятный сценарий:</t>
  </si>
  <si>
    <t>Среднее квадрат. отклонение</t>
  </si>
  <si>
    <t>Коэф-нт вариации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</si>
</sst>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Q75" sqref="Q75"/>
    </sheetView>
  </sheetViews>
  <sheetFormatPr defaultColWidth="9.00390625" defaultRowHeight="12.75"/>
  <sheetData>
    <row r="1" ht="12.75">
      <c r="O1" t="s">
        <v>0</v>
      </c>
    </row>
    <row r="3" ht="12.75">
      <c r="A3" t="s">
        <v>1</v>
      </c>
    </row>
    <row r="5" spans="1:14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</row>
    <row r="6" spans="1:14" ht="12.75">
      <c r="A6" s="2" t="s">
        <v>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 t="s">
        <v>17</v>
      </c>
      <c r="B7" s="2">
        <v>0</v>
      </c>
      <c r="C7" s="2">
        <v>0</v>
      </c>
      <c r="D7" s="2">
        <v>200</v>
      </c>
      <c r="E7" s="2">
        <v>300</v>
      </c>
      <c r="F7" s="2">
        <f>E7</f>
        <v>300</v>
      </c>
      <c r="G7" s="2">
        <f>F7</f>
        <v>300</v>
      </c>
      <c r="H7" s="2">
        <f aca="true" t="shared" si="0" ref="H7:N7">G7</f>
        <v>300</v>
      </c>
      <c r="I7" s="2">
        <f t="shared" si="0"/>
        <v>300</v>
      </c>
      <c r="J7" s="2">
        <f>I7</f>
        <v>300</v>
      </c>
      <c r="K7" s="2">
        <f t="shared" si="0"/>
        <v>300</v>
      </c>
      <c r="L7" s="2">
        <f t="shared" si="0"/>
        <v>300</v>
      </c>
      <c r="M7" s="2">
        <f t="shared" si="0"/>
        <v>300</v>
      </c>
      <c r="N7" s="2">
        <f t="shared" si="0"/>
        <v>300</v>
      </c>
    </row>
    <row r="8" spans="1:14" ht="12.75">
      <c r="A8" s="2" t="s">
        <v>18</v>
      </c>
      <c r="B8" s="2">
        <v>0</v>
      </c>
      <c r="C8" s="2">
        <v>0</v>
      </c>
      <c r="D8" s="2">
        <v>70</v>
      </c>
      <c r="E8" s="2">
        <v>100</v>
      </c>
      <c r="F8" s="2">
        <f aca="true" t="shared" si="1" ref="F8:N9">E8</f>
        <v>100</v>
      </c>
      <c r="G8" s="2">
        <f t="shared" si="1"/>
        <v>100</v>
      </c>
      <c r="H8" s="2">
        <f t="shared" si="1"/>
        <v>100</v>
      </c>
      <c r="I8" s="2">
        <f t="shared" si="1"/>
        <v>100</v>
      </c>
      <c r="J8" s="2">
        <f t="shared" si="1"/>
        <v>100</v>
      </c>
      <c r="K8" s="2">
        <f t="shared" si="1"/>
        <v>100</v>
      </c>
      <c r="L8" s="2">
        <f>K8</f>
        <v>100</v>
      </c>
      <c r="M8" s="2">
        <f t="shared" si="1"/>
        <v>100</v>
      </c>
      <c r="N8" s="2">
        <f t="shared" si="1"/>
        <v>100</v>
      </c>
    </row>
    <row r="9" spans="1:14" ht="12.75">
      <c r="A9" s="2" t="s">
        <v>19</v>
      </c>
      <c r="B9" s="2">
        <v>0</v>
      </c>
      <c r="C9" s="2">
        <v>0</v>
      </c>
      <c r="D9" s="2">
        <v>100</v>
      </c>
      <c r="E9" s="2">
        <v>150</v>
      </c>
      <c r="F9" s="2">
        <f t="shared" si="1"/>
        <v>150</v>
      </c>
      <c r="G9" s="2">
        <f t="shared" si="1"/>
        <v>150</v>
      </c>
      <c r="H9" s="2">
        <f t="shared" si="1"/>
        <v>150</v>
      </c>
      <c r="I9" s="2">
        <f t="shared" si="1"/>
        <v>150</v>
      </c>
      <c r="J9" s="2">
        <f t="shared" si="1"/>
        <v>150</v>
      </c>
      <c r="K9" s="2">
        <f t="shared" si="1"/>
        <v>150</v>
      </c>
      <c r="L9" s="2">
        <f t="shared" si="1"/>
        <v>150</v>
      </c>
      <c r="M9" s="2">
        <f t="shared" si="1"/>
        <v>150</v>
      </c>
      <c r="N9" s="2">
        <f t="shared" si="1"/>
        <v>150</v>
      </c>
    </row>
    <row r="10" spans="1:14" ht="12.75">
      <c r="A10" s="2" t="s">
        <v>20</v>
      </c>
      <c r="B10" s="2">
        <v>100</v>
      </c>
      <c r="C10" s="2">
        <v>100</v>
      </c>
      <c r="D10" s="2">
        <v>50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 t="s">
        <v>21</v>
      </c>
      <c r="B11" s="2">
        <f>B10</f>
        <v>100</v>
      </c>
      <c r="C11" s="2">
        <f>B11+C10</f>
        <v>200</v>
      </c>
      <c r="D11" s="2">
        <f>C11+D10</f>
        <v>250</v>
      </c>
      <c r="E11" s="2">
        <f>D11-E49+E50</f>
        <v>208.926</v>
      </c>
      <c r="F11" s="2">
        <f>E11-F49+F50</f>
        <v>164.9768200000001</v>
      </c>
      <c r="G11" s="2">
        <f>F11-G49+G50</f>
        <v>118.17094330000008</v>
      </c>
      <c r="H11" s="2">
        <v>0</v>
      </c>
      <c r="I11" s="2"/>
      <c r="J11" s="2"/>
      <c r="K11" s="2"/>
      <c r="L11" s="2"/>
      <c r="M11" s="2"/>
      <c r="N11" s="2"/>
    </row>
    <row r="12" spans="1:14" ht="12.75">
      <c r="A12" s="2" t="s">
        <v>22</v>
      </c>
      <c r="B12" s="2"/>
      <c r="C12" s="2"/>
      <c r="D12" s="2"/>
      <c r="E12" s="2"/>
      <c r="F12" s="2">
        <v>1.07</v>
      </c>
      <c r="G12" s="2">
        <f>F12-0.005</f>
        <v>1.0650000000000002</v>
      </c>
      <c r="H12" s="2">
        <f aca="true" t="shared" si="2" ref="H12:N12">G12-0.005</f>
        <v>1.0600000000000003</v>
      </c>
      <c r="I12" s="2">
        <f t="shared" si="2"/>
        <v>1.0550000000000004</v>
      </c>
      <c r="J12" s="2">
        <f t="shared" si="2"/>
        <v>1.0500000000000005</v>
      </c>
      <c r="K12" s="2">
        <f t="shared" si="2"/>
        <v>1.0450000000000006</v>
      </c>
      <c r="L12" s="2">
        <f t="shared" si="2"/>
        <v>1.0400000000000007</v>
      </c>
      <c r="M12" s="2">
        <f t="shared" si="2"/>
        <v>1.0350000000000008</v>
      </c>
      <c r="N12" s="2">
        <f t="shared" si="2"/>
        <v>1.030000000000001</v>
      </c>
    </row>
    <row r="13" spans="1:14" ht="12.75">
      <c r="A13" s="2" t="s">
        <v>23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 t="s">
        <v>17</v>
      </c>
      <c r="B14" s="2"/>
      <c r="C14" s="2"/>
      <c r="D14" s="2">
        <f>E14*D7/E7</f>
        <v>21.426666666666666</v>
      </c>
      <c r="E14" s="2">
        <v>32.14</v>
      </c>
      <c r="F14" s="2">
        <f>E14*$F$12</f>
        <v>34.3898</v>
      </c>
      <c r="G14" s="2">
        <f>F14*$G$12</f>
        <v>36.62513700000001</v>
      </c>
      <c r="H14" s="2">
        <f>G14*$H$12</f>
        <v>38.82264522000002</v>
      </c>
      <c r="I14" s="2">
        <f>H14*$I$12</f>
        <v>40.957890707100034</v>
      </c>
      <c r="J14" s="2">
        <f>I14*$J$12</f>
        <v>43.005785242455055</v>
      </c>
      <c r="K14" s="2">
        <f>J14*$K$12</f>
        <v>44.94104557836556</v>
      </c>
      <c r="L14" s="2">
        <f>K14*$L$12</f>
        <v>46.738687401500215</v>
      </c>
      <c r="M14" s="2">
        <f>L14*$M$12</f>
        <v>48.37454146055276</v>
      </c>
      <c r="N14" s="2">
        <f>M14*$N$12</f>
        <v>49.82577770436939</v>
      </c>
    </row>
    <row r="15" spans="1:14" ht="12.75">
      <c r="A15" s="2" t="s">
        <v>18</v>
      </c>
      <c r="B15" s="2"/>
      <c r="C15" s="2"/>
      <c r="D15" s="2">
        <f>E15*D8/E8</f>
        <v>13.503</v>
      </c>
      <c r="E15" s="2">
        <v>19.29</v>
      </c>
      <c r="F15" s="2">
        <f>E15*$F$12</f>
        <v>20.6403</v>
      </c>
      <c r="G15" s="2">
        <f>F15*$G$12</f>
        <v>21.981919500000004</v>
      </c>
      <c r="H15" s="2">
        <f>G15*$H$12</f>
        <v>23.30083467000001</v>
      </c>
      <c r="I15" s="2">
        <f>H15*$I$12</f>
        <v>24.58238057685002</v>
      </c>
      <c r="J15" s="2">
        <f>I15*$J$12</f>
        <v>25.811499605692532</v>
      </c>
      <c r="K15" s="2">
        <f>J15*$K$12</f>
        <v>26.973017087948712</v>
      </c>
      <c r="L15" s="2">
        <f>K15*$L$12</f>
        <v>28.05193777146668</v>
      </c>
      <c r="M15" s="2">
        <f>L15*$M$12</f>
        <v>29.033755593468037</v>
      </c>
      <c r="N15" s="2">
        <f>M15*$N$12</f>
        <v>29.904768261272103</v>
      </c>
    </row>
    <row r="16" spans="1:14" ht="12.75">
      <c r="A16" s="2" t="s">
        <v>19</v>
      </c>
      <c r="B16" s="2"/>
      <c r="C16" s="2"/>
      <c r="D16" s="2">
        <f>E16*D9/E9</f>
        <v>18.58</v>
      </c>
      <c r="E16" s="2">
        <v>27.87</v>
      </c>
      <c r="F16" s="2">
        <f>E16*$F$12</f>
        <v>29.8209</v>
      </c>
      <c r="G16" s="2">
        <f>F16*$G$12</f>
        <v>31.75925850000001</v>
      </c>
      <c r="H16" s="2">
        <f>G16*$H$12</f>
        <v>33.664814010000015</v>
      </c>
      <c r="I16" s="2">
        <f>H16*$I$12</f>
        <v>35.51637878055003</v>
      </c>
      <c r="J16" s="2">
        <f>I16*$J$12</f>
        <v>37.292197719577544</v>
      </c>
      <c r="K16" s="2">
        <f>J16*$K$12</f>
        <v>38.97034661695856</v>
      </c>
      <c r="L16" s="2">
        <f>K16*$L$12</f>
        <v>40.52916048163693</v>
      </c>
      <c r="M16" s="2">
        <f>L16*$M$12</f>
        <v>41.94768109849426</v>
      </c>
      <c r="N16" s="2">
        <f>M16*$N$12</f>
        <v>43.206111531449125</v>
      </c>
    </row>
    <row r="17" spans="1:14" ht="12.75">
      <c r="A17" s="2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 t="s">
        <v>17</v>
      </c>
      <c r="B18" s="2"/>
      <c r="C18" s="2"/>
      <c r="D18" s="2">
        <f>E18*D7/E7</f>
        <v>50</v>
      </c>
      <c r="E18" s="2">
        <f>75</f>
        <v>75</v>
      </c>
      <c r="F18" s="2">
        <f>E18*$F$12</f>
        <v>80.25</v>
      </c>
      <c r="G18" s="2">
        <f>F18*$G$12</f>
        <v>85.46625000000002</v>
      </c>
      <c r="H18" s="2">
        <f>G18*$H$12</f>
        <v>90.59422500000004</v>
      </c>
      <c r="I18" s="2">
        <f>H18*$I$12</f>
        <v>95.57690737500008</v>
      </c>
      <c r="J18" s="2">
        <f>I18*$J$12</f>
        <v>100.35575274375013</v>
      </c>
      <c r="K18" s="2">
        <f>J18*$K$12</f>
        <v>104.87176161721895</v>
      </c>
      <c r="L18" s="2">
        <f>K18*$L$12</f>
        <v>109.06663208190778</v>
      </c>
      <c r="M18" s="2">
        <f>L18*$M$12</f>
        <v>112.88396420477464</v>
      </c>
      <c r="N18" s="2">
        <f>M18*$N$12</f>
        <v>116.27048313091798</v>
      </c>
    </row>
    <row r="19" spans="1:14" ht="12.75">
      <c r="A19" s="2" t="s">
        <v>18</v>
      </c>
      <c r="B19" s="2"/>
      <c r="C19" s="2"/>
      <c r="D19" s="2">
        <f>E19*D8/E8</f>
        <v>31.5</v>
      </c>
      <c r="E19" s="2">
        <f>45</f>
        <v>45</v>
      </c>
      <c r="F19" s="2">
        <f>E19*$F$12</f>
        <v>48.150000000000006</v>
      </c>
      <c r="G19" s="2">
        <f>F19*$G$12</f>
        <v>51.279750000000014</v>
      </c>
      <c r="H19" s="2">
        <f>G19*$H$12</f>
        <v>54.35653500000003</v>
      </c>
      <c r="I19" s="2">
        <f>H19*$I$12</f>
        <v>57.34614442500005</v>
      </c>
      <c r="J19" s="2">
        <f>I19*$J$12</f>
        <v>60.21345164625008</v>
      </c>
      <c r="K19" s="2">
        <f>J19*$K$12</f>
        <v>62.923056970331366</v>
      </c>
      <c r="L19" s="2">
        <f>K19*$L$12</f>
        <v>65.43997924914467</v>
      </c>
      <c r="M19" s="2">
        <f>L19*$M$12</f>
        <v>67.73037852286478</v>
      </c>
      <c r="N19" s="2">
        <f>M19*$N$12</f>
        <v>69.76228987855079</v>
      </c>
    </row>
    <row r="20" spans="1:14" ht="12.75">
      <c r="A20" s="2" t="s">
        <v>19</v>
      </c>
      <c r="B20" s="2"/>
      <c r="C20" s="2"/>
      <c r="D20" s="2">
        <f>E20*D9/E9</f>
        <v>43.333333333333336</v>
      </c>
      <c r="E20" s="2">
        <f>65</f>
        <v>65</v>
      </c>
      <c r="F20" s="2">
        <f>E20*$F$12</f>
        <v>69.55</v>
      </c>
      <c r="G20" s="2">
        <f>F20*$G$12</f>
        <v>74.07075</v>
      </c>
      <c r="H20" s="2">
        <f>G20*$H$12</f>
        <v>78.51499500000003</v>
      </c>
      <c r="I20" s="2">
        <f>H20*$I$12</f>
        <v>82.83331972500005</v>
      </c>
      <c r="J20" s="2">
        <f>I20*$J$12</f>
        <v>86.9749857112501</v>
      </c>
      <c r="K20" s="2">
        <f>J20*$K$12</f>
        <v>90.8888600682564</v>
      </c>
      <c r="L20" s="2">
        <f>K20*$L$12</f>
        <v>94.52441447098673</v>
      </c>
      <c r="M20" s="2">
        <f>L20*$M$12</f>
        <v>97.83276897747133</v>
      </c>
      <c r="N20" s="2">
        <f>M20*$N$12</f>
        <v>100.76775204679556</v>
      </c>
    </row>
    <row r="21" spans="1:14" ht="12.75">
      <c r="A21" s="2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 t="s">
        <v>17</v>
      </c>
      <c r="B22" s="2"/>
      <c r="C22" s="2"/>
      <c r="D22" s="2">
        <f>D18*1000/D7</f>
        <v>250</v>
      </c>
      <c r="E22" s="2">
        <f aca="true" t="shared" si="3" ref="E22:N22">E18*1000/E7</f>
        <v>250</v>
      </c>
      <c r="F22" s="2">
        <f t="shared" si="3"/>
        <v>267.5</v>
      </c>
      <c r="G22" s="2">
        <f t="shared" si="3"/>
        <v>284.88750000000005</v>
      </c>
      <c r="H22" s="2">
        <f t="shared" si="3"/>
        <v>301.9807500000001</v>
      </c>
      <c r="I22" s="2">
        <f t="shared" si="3"/>
        <v>318.58969125000027</v>
      </c>
      <c r="J22" s="2">
        <f t="shared" si="3"/>
        <v>334.5191758125004</v>
      </c>
      <c r="K22" s="2">
        <f t="shared" si="3"/>
        <v>349.5725387240631</v>
      </c>
      <c r="L22" s="2">
        <f t="shared" si="3"/>
        <v>363.5554402730259</v>
      </c>
      <c r="M22" s="2">
        <f t="shared" si="3"/>
        <v>376.27988068258213</v>
      </c>
      <c r="N22" s="2">
        <f t="shared" si="3"/>
        <v>387.5682771030599</v>
      </c>
    </row>
    <row r="23" spans="1:14" ht="12.75">
      <c r="A23" s="2" t="s">
        <v>18</v>
      </c>
      <c r="B23" s="2"/>
      <c r="C23" s="2"/>
      <c r="D23" s="2">
        <f aca="true" t="shared" si="4" ref="D23:N23">D19*1000/D8</f>
        <v>450</v>
      </c>
      <c r="E23" s="2">
        <f t="shared" si="4"/>
        <v>450</v>
      </c>
      <c r="F23" s="2">
        <f t="shared" si="4"/>
        <v>481.50000000000006</v>
      </c>
      <c r="G23" s="2">
        <f t="shared" si="4"/>
        <v>512.7975000000001</v>
      </c>
      <c r="H23" s="2">
        <f t="shared" si="4"/>
        <v>543.5653500000003</v>
      </c>
      <c r="I23" s="2">
        <f t="shared" si="4"/>
        <v>573.4614442500005</v>
      </c>
      <c r="J23" s="2">
        <f t="shared" si="4"/>
        <v>602.1345164625008</v>
      </c>
      <c r="K23" s="2">
        <f t="shared" si="4"/>
        <v>629.2305697033137</v>
      </c>
      <c r="L23" s="2">
        <f t="shared" si="4"/>
        <v>654.3997924914468</v>
      </c>
      <c r="M23" s="2">
        <f t="shared" si="4"/>
        <v>677.3037852286477</v>
      </c>
      <c r="N23" s="2">
        <f t="shared" si="4"/>
        <v>697.6228987855079</v>
      </c>
    </row>
    <row r="24" spans="1:14" ht="12.75">
      <c r="A24" s="2" t="s">
        <v>19</v>
      </c>
      <c r="B24" s="2"/>
      <c r="C24" s="2"/>
      <c r="D24" s="2">
        <f aca="true" t="shared" si="5" ref="D24:N24">D20*1000/D9</f>
        <v>433.33333333333337</v>
      </c>
      <c r="E24" s="2">
        <f t="shared" si="5"/>
        <v>433.3333333333333</v>
      </c>
      <c r="F24" s="2">
        <f t="shared" si="5"/>
        <v>463.6666666666667</v>
      </c>
      <c r="G24" s="2">
        <f t="shared" si="5"/>
        <v>493.805</v>
      </c>
      <c r="H24" s="2">
        <f t="shared" si="5"/>
        <v>523.4333000000001</v>
      </c>
      <c r="I24" s="2">
        <f t="shared" si="5"/>
        <v>552.2221315000004</v>
      </c>
      <c r="J24" s="2">
        <f t="shared" si="5"/>
        <v>579.8332380750007</v>
      </c>
      <c r="K24" s="2">
        <f t="shared" si="5"/>
        <v>605.925733788376</v>
      </c>
      <c r="L24" s="2">
        <f t="shared" si="5"/>
        <v>630.1627631399115</v>
      </c>
      <c r="M24" s="2">
        <f t="shared" si="5"/>
        <v>652.2184598498089</v>
      </c>
      <c r="N24" s="2">
        <f t="shared" si="5"/>
        <v>671.7850136453037</v>
      </c>
    </row>
    <row r="25" spans="1:14" ht="12.75">
      <c r="A25" s="2" t="s">
        <v>26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 t="s">
        <v>17</v>
      </c>
      <c r="B26" s="2"/>
      <c r="C26" s="2"/>
      <c r="D26" s="2">
        <f>D14+D18</f>
        <v>71.42666666666666</v>
      </c>
      <c r="E26" s="2">
        <f aca="true" t="shared" si="6" ref="E26:N26">E14+E18</f>
        <v>107.14</v>
      </c>
      <c r="F26" s="2">
        <f t="shared" si="6"/>
        <v>114.63980000000001</v>
      </c>
      <c r="G26" s="2">
        <f t="shared" si="6"/>
        <v>122.09138700000003</v>
      </c>
      <c r="H26" s="2">
        <f t="shared" si="6"/>
        <v>129.41687022000005</v>
      </c>
      <c r="I26" s="2">
        <f t="shared" si="6"/>
        <v>136.5347980821001</v>
      </c>
      <c r="J26" s="2">
        <f t="shared" si="6"/>
        <v>143.36153798620518</v>
      </c>
      <c r="K26" s="2">
        <f t="shared" si="6"/>
        <v>149.81280719558453</v>
      </c>
      <c r="L26" s="2">
        <f t="shared" si="6"/>
        <v>155.805319483408</v>
      </c>
      <c r="M26" s="2">
        <f t="shared" si="6"/>
        <v>161.2585056653274</v>
      </c>
      <c r="N26" s="2">
        <f t="shared" si="6"/>
        <v>166.09626083528738</v>
      </c>
    </row>
    <row r="27" spans="1:14" ht="12.75">
      <c r="A27" s="2" t="s">
        <v>18</v>
      </c>
      <c r="B27" s="2"/>
      <c r="C27" s="2"/>
      <c r="D27" s="2">
        <f aca="true" t="shared" si="7" ref="D27:G28">D15+D19</f>
        <v>45.003</v>
      </c>
      <c r="E27" s="2">
        <f t="shared" si="7"/>
        <v>64.28999999999999</v>
      </c>
      <c r="F27" s="2">
        <f t="shared" si="7"/>
        <v>68.7903</v>
      </c>
      <c r="G27" s="2">
        <f t="shared" si="7"/>
        <v>73.26166950000001</v>
      </c>
      <c r="H27" s="2">
        <f aca="true" t="shared" si="8" ref="H27:N27">H15+H19</f>
        <v>77.65736967000004</v>
      </c>
      <c r="I27" s="2">
        <f t="shared" si="8"/>
        <v>81.92852500185006</v>
      </c>
      <c r="J27" s="2">
        <f t="shared" si="8"/>
        <v>86.02495125194261</v>
      </c>
      <c r="K27" s="2">
        <f t="shared" si="8"/>
        <v>89.89607405828008</v>
      </c>
      <c r="L27" s="2">
        <f t="shared" si="8"/>
        <v>93.49191702061135</v>
      </c>
      <c r="M27" s="2">
        <f t="shared" si="8"/>
        <v>96.76413411633283</v>
      </c>
      <c r="N27" s="2">
        <f t="shared" si="8"/>
        <v>99.6670581398229</v>
      </c>
    </row>
    <row r="28" spans="1:15" ht="12.75">
      <c r="A28" s="2" t="s">
        <v>19</v>
      </c>
      <c r="B28" s="2"/>
      <c r="C28" s="2"/>
      <c r="D28" s="2">
        <f t="shared" si="7"/>
        <v>61.913333333333334</v>
      </c>
      <c r="E28" s="2">
        <f t="shared" si="7"/>
        <v>92.87</v>
      </c>
      <c r="F28" s="2">
        <f t="shared" si="7"/>
        <v>99.3709</v>
      </c>
      <c r="G28" s="2">
        <f t="shared" si="7"/>
        <v>105.83000850000002</v>
      </c>
      <c r="H28" s="2">
        <f aca="true" t="shared" si="9" ref="H28:N28">H16+H20</f>
        <v>112.17980901000004</v>
      </c>
      <c r="I28" s="2">
        <f t="shared" si="9"/>
        <v>118.34969850555008</v>
      </c>
      <c r="J28" s="2">
        <f t="shared" si="9"/>
        <v>124.26718343082764</v>
      </c>
      <c r="K28" s="2">
        <f t="shared" si="9"/>
        <v>129.85920668521496</v>
      </c>
      <c r="L28" s="2">
        <f t="shared" si="9"/>
        <v>135.05357495262365</v>
      </c>
      <c r="M28" s="2">
        <f t="shared" si="9"/>
        <v>139.78045007596558</v>
      </c>
      <c r="N28" s="2">
        <f t="shared" si="9"/>
        <v>143.97386357824467</v>
      </c>
      <c r="O28">
        <f>SUM(D26:N28)</f>
        <v>3597.806979965179</v>
      </c>
    </row>
    <row r="29" spans="1:14" ht="12.75">
      <c r="A29" s="2" t="s">
        <v>27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 t="s">
        <v>17</v>
      </c>
      <c r="B30" s="2"/>
      <c r="C30" s="2"/>
      <c r="D30" s="2">
        <f>D26/(D26+D27+D28)*100</f>
        <v>40.05016550504739</v>
      </c>
      <c r="E30" s="2">
        <f>E26/(E26+E27+E28)*100</f>
        <v>40.53726825576996</v>
      </c>
      <c r="F30" s="2">
        <f>F26/(F26+F27+F28)*100</f>
        <v>40.53726825576995</v>
      </c>
      <c r="G30" s="2">
        <f>G26/(G26+G27+G28)*100</f>
        <v>40.53726825576996</v>
      </c>
      <c r="H30" s="2">
        <f>H26/(H26+H27+H28)*100</f>
        <v>40.53726825576995</v>
      </c>
      <c r="I30" s="2">
        <f aca="true" t="shared" si="10" ref="I30:N30">I26/(I26+I27+I28)*100</f>
        <v>40.537268255769966</v>
      </c>
      <c r="J30" s="2">
        <f t="shared" si="10"/>
        <v>40.53726825576996</v>
      </c>
      <c r="K30" s="2">
        <f t="shared" si="10"/>
        <v>40.53726825576997</v>
      </c>
      <c r="L30" s="2">
        <f t="shared" si="10"/>
        <v>40.537268255769966</v>
      </c>
      <c r="M30" s="2">
        <f t="shared" si="10"/>
        <v>40.53726825576996</v>
      </c>
      <c r="N30" s="2">
        <f t="shared" si="10"/>
        <v>40.537268255769966</v>
      </c>
    </row>
    <row r="31" spans="1:14" ht="12.75">
      <c r="A31" s="2" t="s">
        <v>18</v>
      </c>
      <c r="B31" s="2"/>
      <c r="C31" s="2"/>
      <c r="D31" s="2">
        <f>D27/(D27+D28+D26)*100</f>
        <v>25.233959280711883</v>
      </c>
      <c r="E31" s="2">
        <f>E27/(E27+E28+E26)*100</f>
        <v>24.324631101021563</v>
      </c>
      <c r="F31" s="2">
        <f>F27/(F27+F28+F26)*100</f>
        <v>24.324631101021563</v>
      </c>
      <c r="G31" s="2">
        <f>G27/(G27+G28+G26)*100</f>
        <v>24.324631101021566</v>
      </c>
      <c r="H31" s="2">
        <f>H27/(H27+H28+H26)*100</f>
        <v>24.324631101021566</v>
      </c>
      <c r="I31" s="2">
        <f aca="true" t="shared" si="11" ref="I31:N31">I27/(I27+I28+I26)*100</f>
        <v>24.32463110102157</v>
      </c>
      <c r="J31" s="2">
        <f t="shared" si="11"/>
        <v>24.32463110102157</v>
      </c>
      <c r="K31" s="2">
        <f t="shared" si="11"/>
        <v>24.32463110102157</v>
      </c>
      <c r="L31" s="2">
        <f t="shared" si="11"/>
        <v>24.32463110102157</v>
      </c>
      <c r="M31" s="2">
        <f t="shared" si="11"/>
        <v>24.32463110102157</v>
      </c>
      <c r="N31" s="2">
        <f t="shared" si="11"/>
        <v>24.32463110102157</v>
      </c>
    </row>
    <row r="32" spans="1:14" ht="12.75">
      <c r="A32" s="2" t="s">
        <v>19</v>
      </c>
      <c r="B32" s="2"/>
      <c r="C32" s="2"/>
      <c r="D32" s="2">
        <f>D28/(D26+D27+D28)*100</f>
        <v>34.715875214240725</v>
      </c>
      <c r="E32" s="2">
        <f>E28/(E26+E27+E28)*100</f>
        <v>35.138100643208475</v>
      </c>
      <c r="F32" s="2">
        <f>F28/(F26+F27+F28)*100</f>
        <v>35.13810064320847</v>
      </c>
      <c r="G32" s="2">
        <f>G28/(G26+G27+G28)*100</f>
        <v>35.138100643208475</v>
      </c>
      <c r="H32" s="2">
        <f>H28/(H26+H27+H28)*100</f>
        <v>35.13810064320847</v>
      </c>
      <c r="I32" s="2">
        <f aca="true" t="shared" si="12" ref="I32:N32">I28/(I26+I27+I28)*100</f>
        <v>35.138100643208475</v>
      </c>
      <c r="J32" s="2">
        <f t="shared" si="12"/>
        <v>35.13810064320847</v>
      </c>
      <c r="K32" s="2">
        <f t="shared" si="12"/>
        <v>35.13810064320847</v>
      </c>
      <c r="L32" s="2">
        <f t="shared" si="12"/>
        <v>35.13810064320847</v>
      </c>
      <c r="M32" s="2">
        <f t="shared" si="12"/>
        <v>35.13810064320847</v>
      </c>
      <c r="N32" s="2">
        <f t="shared" si="12"/>
        <v>35.13810064320847</v>
      </c>
    </row>
    <row r="33" spans="1:14" ht="12.75">
      <c r="A33" s="2" t="s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 t="s">
        <v>17</v>
      </c>
      <c r="B34" s="2"/>
      <c r="C34" s="2"/>
      <c r="D34" s="2">
        <f aca="true" t="shared" si="13" ref="D34:N34">D26/D7*1000</f>
        <v>357.1333333333333</v>
      </c>
      <c r="E34" s="2">
        <f t="shared" si="13"/>
        <v>357.1333333333334</v>
      </c>
      <c r="F34" s="2">
        <f t="shared" si="13"/>
        <v>382.1326666666667</v>
      </c>
      <c r="G34" s="2">
        <f t="shared" si="13"/>
        <v>406.9712900000001</v>
      </c>
      <c r="H34" s="2">
        <f t="shared" si="13"/>
        <v>431.38956740000015</v>
      </c>
      <c r="I34" s="2">
        <f t="shared" si="13"/>
        <v>455.1159936070004</v>
      </c>
      <c r="J34" s="2">
        <f t="shared" si="13"/>
        <v>477.87179328735056</v>
      </c>
      <c r="K34" s="2">
        <f t="shared" si="13"/>
        <v>499.37602398528173</v>
      </c>
      <c r="L34" s="2">
        <f t="shared" si="13"/>
        <v>519.3510649446933</v>
      </c>
      <c r="M34" s="2">
        <f t="shared" si="13"/>
        <v>537.528352217758</v>
      </c>
      <c r="N34" s="2">
        <f t="shared" si="13"/>
        <v>553.6542027842912</v>
      </c>
    </row>
    <row r="35" spans="1:14" ht="12.75">
      <c r="A35" s="2" t="s">
        <v>18</v>
      </c>
      <c r="B35" s="2"/>
      <c r="C35" s="2"/>
      <c r="D35" s="2">
        <f aca="true" t="shared" si="14" ref="D35:N35">D27/D8*1000</f>
        <v>642.9</v>
      </c>
      <c r="E35" s="2">
        <f t="shared" si="14"/>
        <v>642.8999999999999</v>
      </c>
      <c r="F35" s="2">
        <f t="shared" si="14"/>
        <v>687.903</v>
      </c>
      <c r="G35" s="2">
        <f t="shared" si="14"/>
        <v>732.6166950000002</v>
      </c>
      <c r="H35" s="2">
        <f t="shared" si="14"/>
        <v>776.5736967000004</v>
      </c>
      <c r="I35" s="2">
        <f t="shared" si="14"/>
        <v>819.2852500185006</v>
      </c>
      <c r="J35" s="2">
        <f t="shared" si="14"/>
        <v>860.249512519426</v>
      </c>
      <c r="K35" s="2">
        <f t="shared" si="14"/>
        <v>898.9607405828008</v>
      </c>
      <c r="L35" s="2">
        <f t="shared" si="14"/>
        <v>934.9191702061134</v>
      </c>
      <c r="M35" s="2">
        <f t="shared" si="14"/>
        <v>967.6413411633282</v>
      </c>
      <c r="N35" s="2">
        <f t="shared" si="14"/>
        <v>996.6705813982289</v>
      </c>
    </row>
    <row r="36" spans="1:14" ht="12.75">
      <c r="A36" s="2" t="s">
        <v>19</v>
      </c>
      <c r="B36" s="2"/>
      <c r="C36" s="2"/>
      <c r="D36" s="2">
        <f aca="true" t="shared" si="15" ref="D36:N36">D28/D9*1000</f>
        <v>619.1333333333333</v>
      </c>
      <c r="E36" s="2">
        <f t="shared" si="15"/>
        <v>619.1333333333333</v>
      </c>
      <c r="F36" s="2">
        <f t="shared" si="15"/>
        <v>662.4726666666667</v>
      </c>
      <c r="G36" s="2">
        <f t="shared" si="15"/>
        <v>705.5333900000002</v>
      </c>
      <c r="H36" s="2">
        <f t="shared" si="15"/>
        <v>747.8653934000002</v>
      </c>
      <c r="I36" s="2">
        <f t="shared" si="15"/>
        <v>788.9979900370006</v>
      </c>
      <c r="J36" s="2">
        <f t="shared" si="15"/>
        <v>828.447889538851</v>
      </c>
      <c r="K36" s="2">
        <f t="shared" si="15"/>
        <v>865.7280445680997</v>
      </c>
      <c r="L36" s="2">
        <f t="shared" si="15"/>
        <v>900.3571663508243</v>
      </c>
      <c r="M36" s="2">
        <f t="shared" si="15"/>
        <v>931.8696671731038</v>
      </c>
      <c r="N36" s="2">
        <f t="shared" si="15"/>
        <v>959.8257571882979</v>
      </c>
    </row>
    <row r="37" spans="1:14" ht="12.75">
      <c r="A37" s="2" t="s">
        <v>29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 t="s">
        <v>17</v>
      </c>
      <c r="B38" s="2"/>
      <c r="C38" s="2"/>
      <c r="D38" s="2">
        <v>25</v>
      </c>
      <c r="E38" s="2">
        <v>25</v>
      </c>
      <c r="F38" s="2">
        <v>25</v>
      </c>
      <c r="G38" s="2">
        <v>25</v>
      </c>
      <c r="H38" s="2">
        <v>25</v>
      </c>
      <c r="I38" s="2">
        <v>25</v>
      </c>
      <c r="J38" s="2">
        <v>25</v>
      </c>
      <c r="K38" s="2">
        <v>25</v>
      </c>
      <c r="L38" s="2">
        <v>25</v>
      </c>
      <c r="M38" s="2">
        <v>25</v>
      </c>
      <c r="N38" s="2">
        <v>25</v>
      </c>
    </row>
    <row r="39" spans="1:14" ht="12.75">
      <c r="A39" s="2" t="s">
        <v>18</v>
      </c>
      <c r="B39" s="2"/>
      <c r="C39" s="2"/>
      <c r="D39" s="2">
        <v>20</v>
      </c>
      <c r="E39" s="2">
        <v>20</v>
      </c>
      <c r="F39" s="2">
        <v>20</v>
      </c>
      <c r="G39" s="2">
        <v>20</v>
      </c>
      <c r="H39" s="2">
        <v>20</v>
      </c>
      <c r="I39" s="2">
        <v>20</v>
      </c>
      <c r="J39" s="2">
        <v>20</v>
      </c>
      <c r="K39" s="2">
        <v>20</v>
      </c>
      <c r="L39" s="2">
        <v>20</v>
      </c>
      <c r="M39" s="2">
        <v>20</v>
      </c>
      <c r="N39" s="2">
        <v>20</v>
      </c>
    </row>
    <row r="40" spans="1:14" ht="12.75">
      <c r="A40" s="2" t="s">
        <v>19</v>
      </c>
      <c r="B40" s="2"/>
      <c r="C40" s="2"/>
      <c r="D40" s="2">
        <v>30</v>
      </c>
      <c r="E40" s="2">
        <v>30</v>
      </c>
      <c r="F40" s="2">
        <v>30</v>
      </c>
      <c r="G40" s="2">
        <v>30</v>
      </c>
      <c r="H40" s="2">
        <v>30</v>
      </c>
      <c r="I40" s="2">
        <v>30</v>
      </c>
      <c r="J40" s="2">
        <v>30</v>
      </c>
      <c r="K40" s="2">
        <v>30</v>
      </c>
      <c r="L40" s="2">
        <v>30</v>
      </c>
      <c r="M40" s="2">
        <v>30</v>
      </c>
      <c r="N40" s="2">
        <v>30</v>
      </c>
    </row>
    <row r="41" spans="1:14" ht="12.75">
      <c r="A41" s="2" t="s">
        <v>30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 t="s">
        <v>17</v>
      </c>
      <c r="B42" s="2"/>
      <c r="C42" s="2"/>
      <c r="D42" s="2">
        <f>D34*(1+D38/100)</f>
        <v>446.41666666666663</v>
      </c>
      <c r="E42" s="2">
        <f>E34*(1+E38/100)</f>
        <v>446.41666666666674</v>
      </c>
      <c r="F42" s="2">
        <f aca="true" t="shared" si="16" ref="F42:N42">F34*(1+F38/100)</f>
        <v>477.66583333333335</v>
      </c>
      <c r="G42" s="2">
        <f t="shared" si="16"/>
        <v>508.71411250000017</v>
      </c>
      <c r="H42" s="2">
        <f t="shared" si="16"/>
        <v>539.2369592500002</v>
      </c>
      <c r="I42" s="2">
        <f t="shared" si="16"/>
        <v>568.8949920087505</v>
      </c>
      <c r="J42" s="2">
        <f t="shared" si="16"/>
        <v>597.3397416091882</v>
      </c>
      <c r="K42" s="2">
        <f t="shared" si="16"/>
        <v>624.2200299816021</v>
      </c>
      <c r="L42" s="2">
        <f t="shared" si="16"/>
        <v>649.1888311808667</v>
      </c>
      <c r="M42" s="2">
        <f t="shared" si="16"/>
        <v>671.9104402721974</v>
      </c>
      <c r="N42" s="2">
        <f t="shared" si="16"/>
        <v>692.067753480364</v>
      </c>
    </row>
    <row r="43" spans="1:14" ht="12.75">
      <c r="A43" s="2" t="s">
        <v>18</v>
      </c>
      <c r="B43" s="2"/>
      <c r="C43" s="2"/>
      <c r="D43" s="2">
        <f aca="true" t="shared" si="17" ref="D43:N44">D35*(1+D39/100)</f>
        <v>771.4799999999999</v>
      </c>
      <c r="E43" s="2">
        <f t="shared" si="17"/>
        <v>771.4799999999998</v>
      </c>
      <c r="F43" s="2">
        <f t="shared" si="17"/>
        <v>825.4836</v>
      </c>
      <c r="G43" s="2">
        <f t="shared" si="17"/>
        <v>879.1400340000001</v>
      </c>
      <c r="H43" s="2">
        <f t="shared" si="17"/>
        <v>931.8884360400004</v>
      </c>
      <c r="I43" s="2">
        <f t="shared" si="17"/>
        <v>983.1423000222007</v>
      </c>
      <c r="J43" s="2">
        <f t="shared" si="17"/>
        <v>1032.2994150233112</v>
      </c>
      <c r="K43" s="2">
        <f t="shared" si="17"/>
        <v>1078.752888699361</v>
      </c>
      <c r="L43" s="2">
        <f t="shared" si="17"/>
        <v>1121.9030042473362</v>
      </c>
      <c r="M43" s="2">
        <f t="shared" si="17"/>
        <v>1161.1696093959938</v>
      </c>
      <c r="N43" s="2">
        <f t="shared" si="17"/>
        <v>1196.0046976778747</v>
      </c>
    </row>
    <row r="44" spans="1:14" ht="12.75">
      <c r="A44" s="2" t="s">
        <v>19</v>
      </c>
      <c r="B44" s="2"/>
      <c r="C44" s="2"/>
      <c r="D44" s="2">
        <f t="shared" si="17"/>
        <v>804.8733333333333</v>
      </c>
      <c r="E44" s="2">
        <f t="shared" si="17"/>
        <v>804.8733333333333</v>
      </c>
      <c r="F44" s="2">
        <f t="shared" si="17"/>
        <v>861.2144666666667</v>
      </c>
      <c r="G44" s="2">
        <f t="shared" si="17"/>
        <v>917.1934070000002</v>
      </c>
      <c r="H44" s="2">
        <f t="shared" si="17"/>
        <v>972.2250114200003</v>
      </c>
      <c r="I44" s="2">
        <f t="shared" si="17"/>
        <v>1025.6973870481008</v>
      </c>
      <c r="J44" s="2">
        <f t="shared" si="17"/>
        <v>1076.9822564005062</v>
      </c>
      <c r="K44" s="2">
        <f t="shared" si="17"/>
        <v>1125.4464579385296</v>
      </c>
      <c r="L44" s="2">
        <f>L36*(1+L40/100)</f>
        <v>1170.4643162560717</v>
      </c>
      <c r="M44" s="2">
        <f t="shared" si="17"/>
        <v>1211.430567325035</v>
      </c>
      <c r="N44" s="2">
        <f t="shared" si="17"/>
        <v>1247.7734843447872</v>
      </c>
    </row>
    <row r="45" spans="1:14" ht="12.75">
      <c r="A45" s="2" t="s">
        <v>31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 t="s">
        <v>17</v>
      </c>
      <c r="B46" s="2"/>
      <c r="C46" s="2"/>
      <c r="D46" s="2">
        <f>D42*D7/1000</f>
        <v>89.28333333333333</v>
      </c>
      <c r="E46" s="2">
        <f aca="true" t="shared" si="18" ref="E46:N46">E42*E7/1000</f>
        <v>133.92500000000004</v>
      </c>
      <c r="F46" s="2">
        <f t="shared" si="18"/>
        <v>143.29975</v>
      </c>
      <c r="G46" s="2">
        <f t="shared" si="18"/>
        <v>152.61423375000004</v>
      </c>
      <c r="H46" s="2">
        <f t="shared" si="18"/>
        <v>161.77108777500004</v>
      </c>
      <c r="I46" s="2">
        <f t="shared" si="18"/>
        <v>170.66849760262514</v>
      </c>
      <c r="J46" s="2">
        <f t="shared" si="18"/>
        <v>179.20192248275646</v>
      </c>
      <c r="K46" s="2">
        <f t="shared" si="18"/>
        <v>187.26600899448061</v>
      </c>
      <c r="L46" s="2">
        <f t="shared" si="18"/>
        <v>194.75664935426002</v>
      </c>
      <c r="M46" s="2">
        <f t="shared" si="18"/>
        <v>201.57313208165922</v>
      </c>
      <c r="N46" s="2">
        <f t="shared" si="18"/>
        <v>207.6203260441092</v>
      </c>
    </row>
    <row r="47" spans="1:14" ht="12.75">
      <c r="A47" s="2" t="s">
        <v>18</v>
      </c>
      <c r="B47" s="2"/>
      <c r="C47" s="2"/>
      <c r="D47" s="2">
        <f aca="true" t="shared" si="19" ref="D47:N47">D43*D8/1000</f>
        <v>54.00359999999999</v>
      </c>
      <c r="E47" s="2">
        <f t="shared" si="19"/>
        <v>77.14799999999998</v>
      </c>
      <c r="F47" s="2">
        <f t="shared" si="19"/>
        <v>82.54836</v>
      </c>
      <c r="G47" s="2">
        <f t="shared" si="19"/>
        <v>87.91400340000001</v>
      </c>
      <c r="H47" s="2">
        <f t="shared" si="19"/>
        <v>93.18884360400004</v>
      </c>
      <c r="I47" s="2">
        <f t="shared" si="19"/>
        <v>98.31423000222009</v>
      </c>
      <c r="J47" s="2">
        <f t="shared" si="19"/>
        <v>103.22994150233112</v>
      </c>
      <c r="K47" s="2">
        <f t="shared" si="19"/>
        <v>107.87528886993609</v>
      </c>
      <c r="L47" s="2">
        <f t="shared" si="19"/>
        <v>112.19030042473362</v>
      </c>
      <c r="M47" s="2">
        <f t="shared" si="19"/>
        <v>116.11696093959938</v>
      </c>
      <c r="N47" s="2">
        <f t="shared" si="19"/>
        <v>119.60046976778746</v>
      </c>
    </row>
    <row r="48" spans="1:15" ht="12.75">
      <c r="A48" s="2" t="s">
        <v>19</v>
      </c>
      <c r="B48" s="2"/>
      <c r="C48" s="2"/>
      <c r="D48" s="2">
        <f aca="true" t="shared" si="20" ref="D48:N48">D44*D9/1000</f>
        <v>80.48733333333332</v>
      </c>
      <c r="E48" s="2">
        <f t="shared" si="20"/>
        <v>120.731</v>
      </c>
      <c r="F48" s="2">
        <f t="shared" si="20"/>
        <v>129.18216999999999</v>
      </c>
      <c r="G48" s="2">
        <f t="shared" si="20"/>
        <v>137.57901105000002</v>
      </c>
      <c r="H48" s="2">
        <f t="shared" si="20"/>
        <v>145.83375171300005</v>
      </c>
      <c r="I48" s="2">
        <f t="shared" si="20"/>
        <v>153.8546080572151</v>
      </c>
      <c r="J48" s="2">
        <f t="shared" si="20"/>
        <v>161.54733846007593</v>
      </c>
      <c r="K48" s="2">
        <f t="shared" si="20"/>
        <v>168.81696869077945</v>
      </c>
      <c r="L48" s="2">
        <f t="shared" si="20"/>
        <v>175.56964743841075</v>
      </c>
      <c r="M48" s="2">
        <f t="shared" si="20"/>
        <v>181.71458509875526</v>
      </c>
      <c r="N48" s="2">
        <f t="shared" si="20"/>
        <v>187.1660226517181</v>
      </c>
      <c r="O48">
        <f>SUM(D46:N48)</f>
        <v>4516.59237642212</v>
      </c>
    </row>
    <row r="49" spans="1:15" ht="12.75">
      <c r="A49" s="2" t="s">
        <v>32</v>
      </c>
      <c r="B49" s="2"/>
      <c r="C49" s="2"/>
      <c r="D49" s="2">
        <f>(D46+D47+D48)-(D26+D27+D28)</f>
        <v>45.43126666666663</v>
      </c>
      <c r="E49" s="2">
        <f aca="true" t="shared" si="21" ref="E49:N49">(E46+E47+E48)-(E26+E27+E28)</f>
        <v>67.50400000000002</v>
      </c>
      <c r="F49" s="2">
        <f t="shared" si="21"/>
        <v>72.2292799999999</v>
      </c>
      <c r="G49" s="2">
        <f t="shared" si="21"/>
        <v>76.92418320000002</v>
      </c>
      <c r="H49" s="2">
        <f t="shared" si="21"/>
        <v>81.539634192</v>
      </c>
      <c r="I49" s="2">
        <f t="shared" si="21"/>
        <v>86.02431407256006</v>
      </c>
      <c r="J49" s="2">
        <f t="shared" si="21"/>
        <v>90.32552977618809</v>
      </c>
      <c r="K49" s="2">
        <f t="shared" si="21"/>
        <v>94.3901786161166</v>
      </c>
      <c r="L49" s="2">
        <f t="shared" si="21"/>
        <v>98.16578576076142</v>
      </c>
      <c r="M49" s="2">
        <f t="shared" si="21"/>
        <v>101.60158826238802</v>
      </c>
      <c r="N49" s="2">
        <f t="shared" si="21"/>
        <v>104.6496359102598</v>
      </c>
      <c r="O49">
        <f>SUM(D49:N49)</f>
        <v>918.7853964569406</v>
      </c>
    </row>
    <row r="50" spans="1:14" ht="12.75">
      <c r="A50" s="2" t="s">
        <v>33</v>
      </c>
      <c r="B50" s="2"/>
      <c r="C50" s="2"/>
      <c r="D50" s="2">
        <f>(D26+D27+D28)/10</f>
        <v>17.8343</v>
      </c>
      <c r="E50" s="2">
        <f aca="true" t="shared" si="22" ref="E50:N50">(E26+E27+E28)/10</f>
        <v>26.43</v>
      </c>
      <c r="F50" s="2">
        <f t="shared" si="22"/>
        <v>28.280100000000004</v>
      </c>
      <c r="G50" s="2">
        <f t="shared" si="22"/>
        <v>30.118306500000006</v>
      </c>
      <c r="H50" s="2">
        <f t="shared" si="22"/>
        <v>31.925404890000017</v>
      </c>
      <c r="I50" s="2">
        <f t="shared" si="22"/>
        <v>33.681302158950025</v>
      </c>
      <c r="J50" s="2">
        <f t="shared" si="22"/>
        <v>35.36536726689754</v>
      </c>
      <c r="K50" s="2">
        <f t="shared" si="22"/>
        <v>36.95680879390795</v>
      </c>
      <c r="L50" s="2">
        <f t="shared" si="22"/>
        <v>38.4350811456643</v>
      </c>
      <c r="M50" s="2">
        <f t="shared" si="22"/>
        <v>39.78030898576258</v>
      </c>
      <c r="N50" s="2">
        <f t="shared" si="22"/>
        <v>40.9737182553355</v>
      </c>
    </row>
    <row r="51" spans="1:14" ht="12.75">
      <c r="A51" s="2" t="s">
        <v>34</v>
      </c>
      <c r="B51" s="2">
        <f>B11*0.2</f>
        <v>20</v>
      </c>
      <c r="C51" s="2">
        <f aca="true" t="shared" si="23" ref="C51:N51">C11*0.2</f>
        <v>40</v>
      </c>
      <c r="D51" s="2">
        <f t="shared" si="23"/>
        <v>50</v>
      </c>
      <c r="E51" s="2">
        <f>E11*0.2</f>
        <v>41.7852</v>
      </c>
      <c r="F51" s="2">
        <f t="shared" si="23"/>
        <v>32.995364000000016</v>
      </c>
      <c r="G51" s="2">
        <f t="shared" si="23"/>
        <v>23.634188660000017</v>
      </c>
      <c r="H51" s="2">
        <v>0</v>
      </c>
      <c r="I51" s="2">
        <f t="shared" si="23"/>
        <v>0</v>
      </c>
      <c r="J51" s="2">
        <f t="shared" si="23"/>
        <v>0</v>
      </c>
      <c r="K51" s="2">
        <f t="shared" si="23"/>
        <v>0</v>
      </c>
      <c r="L51" s="2">
        <f t="shared" si="23"/>
        <v>0</v>
      </c>
      <c r="M51" s="2">
        <f t="shared" si="23"/>
        <v>0</v>
      </c>
      <c r="N51" s="2">
        <f t="shared" si="23"/>
        <v>0</v>
      </c>
    </row>
    <row r="52" spans="1:14" ht="12.75">
      <c r="A52" s="2" t="s">
        <v>35</v>
      </c>
      <c r="B52" s="2">
        <f>-(B49-B50-B51)</f>
        <v>20</v>
      </c>
      <c r="C52" s="2">
        <f>-(C49-C50-C51)+B53</f>
        <v>44</v>
      </c>
      <c r="D52" s="2">
        <f>-(D49-D50-D51)+C53</f>
        <v>30.763033333333368</v>
      </c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 t="s">
        <v>36</v>
      </c>
      <c r="B53" s="2">
        <f>B52*0.2</f>
        <v>4</v>
      </c>
      <c r="C53" s="2">
        <f>C52*0.19</f>
        <v>8.36</v>
      </c>
      <c r="D53" s="2">
        <f>D52*0.18</f>
        <v>5.537346000000006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5" ht="12.75">
      <c r="A54" s="2" t="s">
        <v>37</v>
      </c>
      <c r="B54" s="2">
        <f>-B51-B53</f>
        <v>-24</v>
      </c>
      <c r="C54" s="2">
        <f>-C51-C53</f>
        <v>-48.36</v>
      </c>
      <c r="D54" s="2">
        <f aca="true" t="shared" si="24" ref="D54:N54">D49-D50-D51-D53</f>
        <v>-27.940379333333375</v>
      </c>
      <c r="E54" s="2">
        <f>E49-E50-E51-E53</f>
        <v>-0.7111999999999838</v>
      </c>
      <c r="F54" s="2">
        <f t="shared" si="24"/>
        <v>10.953815999999883</v>
      </c>
      <c r="G54" s="2">
        <f t="shared" si="24"/>
        <v>23.171688039999996</v>
      </c>
      <c r="H54" s="2">
        <f t="shared" si="24"/>
        <v>49.61422930199998</v>
      </c>
      <c r="I54" s="2">
        <f t="shared" si="24"/>
        <v>52.343011913610034</v>
      </c>
      <c r="J54" s="2">
        <f t="shared" si="24"/>
        <v>54.96016250929055</v>
      </c>
      <c r="K54" s="2">
        <f t="shared" si="24"/>
        <v>57.43336982220865</v>
      </c>
      <c r="L54" s="2">
        <f t="shared" si="24"/>
        <v>59.730704615097125</v>
      </c>
      <c r="M54" s="2">
        <f t="shared" si="24"/>
        <v>61.82127927662544</v>
      </c>
      <c r="N54" s="2">
        <f t="shared" si="24"/>
        <v>63.675917654924305</v>
      </c>
      <c r="O54">
        <f>SUM(B54:N54)</f>
        <v>332.6925998004226</v>
      </c>
    </row>
    <row r="55" spans="1:14" ht="12.75">
      <c r="A55" s="2" t="s">
        <v>38</v>
      </c>
      <c r="B55" s="2">
        <v>0</v>
      </c>
      <c r="C55" s="2">
        <v>0</v>
      </c>
      <c r="D55" s="2">
        <v>0</v>
      </c>
      <c r="E55" s="2">
        <f>E54*0.3</f>
        <v>-0.21335999999999514</v>
      </c>
      <c r="F55" s="2">
        <f aca="true" t="shared" si="25" ref="F55:N55">F54*0.3</f>
        <v>3.2861447999999647</v>
      </c>
      <c r="G55" s="2">
        <f t="shared" si="25"/>
        <v>6.951506411999999</v>
      </c>
      <c r="H55" s="2">
        <f t="shared" si="25"/>
        <v>14.884268790599993</v>
      </c>
      <c r="I55" s="2">
        <f t="shared" si="25"/>
        <v>15.70290357408301</v>
      </c>
      <c r="J55" s="2">
        <f t="shared" si="25"/>
        <v>16.488048752787165</v>
      </c>
      <c r="K55" s="2">
        <f t="shared" si="25"/>
        <v>17.230010946662592</v>
      </c>
      <c r="L55" s="2">
        <f t="shared" si="25"/>
        <v>17.919211384529138</v>
      </c>
      <c r="M55" s="2">
        <f t="shared" si="25"/>
        <v>18.546383782987633</v>
      </c>
      <c r="N55" s="2">
        <f t="shared" si="25"/>
        <v>19.10277529647729</v>
      </c>
    </row>
    <row r="56" spans="1:15" ht="12.75">
      <c r="A56" s="2" t="s">
        <v>39</v>
      </c>
      <c r="B56" s="2">
        <f>B54-B55</f>
        <v>-24</v>
      </c>
      <c r="C56" s="2">
        <f aca="true" t="shared" si="26" ref="C56:I56">C54-C55</f>
        <v>-48.36</v>
      </c>
      <c r="D56" s="2">
        <f t="shared" si="26"/>
        <v>-27.940379333333375</v>
      </c>
      <c r="E56" s="2">
        <f t="shared" si="26"/>
        <v>-0.49783999999998874</v>
      </c>
      <c r="F56" s="2">
        <f t="shared" si="26"/>
        <v>7.667671199999917</v>
      </c>
      <c r="G56" s="2">
        <f t="shared" si="26"/>
        <v>16.220181628</v>
      </c>
      <c r="H56" s="2">
        <f t="shared" si="26"/>
        <v>34.72996051139998</v>
      </c>
      <c r="I56" s="2">
        <f t="shared" si="26"/>
        <v>36.640108339527025</v>
      </c>
      <c r="J56" s="2">
        <f>J54-J55</f>
        <v>38.47211375650338</v>
      </c>
      <c r="K56" s="2">
        <f>K54-K55</f>
        <v>40.20335887554606</v>
      </c>
      <c r="L56" s="2">
        <f>L54-L55</f>
        <v>41.81149323056799</v>
      </c>
      <c r="M56" s="2">
        <f>M54-M55</f>
        <v>43.27489549363781</v>
      </c>
      <c r="N56" s="2">
        <f>N54-N55</f>
        <v>44.573142358447015</v>
      </c>
      <c r="O56">
        <f>SUM(B56:N56)</f>
        <v>202.79470606029582</v>
      </c>
    </row>
    <row r="57" spans="1:14" ht="12.75">
      <c r="A57" s="2" t="s">
        <v>40</v>
      </c>
      <c r="B57" s="2"/>
      <c r="C57" s="2">
        <f>0.208*3</f>
        <v>0.624</v>
      </c>
      <c r="D57" s="2">
        <f>0.208*12+1.875*5</f>
        <v>11.871</v>
      </c>
      <c r="E57" s="2">
        <f>0.208*12+1.875*12</f>
        <v>24.996</v>
      </c>
      <c r="F57" s="2">
        <f aca="true" t="shared" si="27" ref="F57:M57">0.208*12+1.875*12</f>
        <v>24.996</v>
      </c>
      <c r="G57" s="2">
        <f t="shared" si="27"/>
        <v>24.996</v>
      </c>
      <c r="H57" s="2">
        <f t="shared" si="27"/>
        <v>24.996</v>
      </c>
      <c r="I57" s="2">
        <f>0.208*12+1.875*12</f>
        <v>24.996</v>
      </c>
      <c r="J57" s="2">
        <f t="shared" si="27"/>
        <v>24.996</v>
      </c>
      <c r="K57" s="2">
        <f t="shared" si="27"/>
        <v>24.996</v>
      </c>
      <c r="L57" s="2">
        <f t="shared" si="27"/>
        <v>24.996</v>
      </c>
      <c r="M57" s="2">
        <f t="shared" si="27"/>
        <v>24.996</v>
      </c>
      <c r="N57" s="2">
        <f>1.875*7+0.208*12</f>
        <v>15.621</v>
      </c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 t="s">
        <v>41</v>
      </c>
      <c r="B59" s="2">
        <f>-B10+B56</f>
        <v>-124</v>
      </c>
      <c r="C59" s="2">
        <f>-C10+C56+C57</f>
        <v>-147.73600000000002</v>
      </c>
      <c r="D59" s="2">
        <f>-D10+D56+D57</f>
        <v>-66.06937933333337</v>
      </c>
      <c r="E59" s="2">
        <f aca="true" t="shared" si="28" ref="E59:N59">-E10+E56+E57</f>
        <v>24.49816000000001</v>
      </c>
      <c r="F59" s="2">
        <f t="shared" si="28"/>
        <v>32.66367119999992</v>
      </c>
      <c r="G59" s="2">
        <f t="shared" si="28"/>
        <v>41.216181628</v>
      </c>
      <c r="H59" s="2">
        <f t="shared" si="28"/>
        <v>59.725960511399975</v>
      </c>
      <c r="I59" s="2">
        <f t="shared" si="28"/>
        <v>61.63610833952703</v>
      </c>
      <c r="J59" s="2">
        <f t="shared" si="28"/>
        <v>63.468113756503385</v>
      </c>
      <c r="K59" s="2">
        <f t="shared" si="28"/>
        <v>65.19935887554605</v>
      </c>
      <c r="L59" s="2">
        <f t="shared" si="28"/>
        <v>66.80749323056799</v>
      </c>
      <c r="M59" s="2">
        <f t="shared" si="28"/>
        <v>68.27089549363781</v>
      </c>
      <c r="N59" s="2">
        <f t="shared" si="28"/>
        <v>60.19414235844702</v>
      </c>
    </row>
    <row r="60" spans="1:14" ht="12.75">
      <c r="A60" s="2" t="s">
        <v>42</v>
      </c>
      <c r="B60" s="2">
        <f>B59</f>
        <v>-124</v>
      </c>
      <c r="C60" s="2">
        <f aca="true" t="shared" si="29" ref="C60:N60">C59+B60</f>
        <v>-271.736</v>
      </c>
      <c r="D60" s="2">
        <f t="shared" si="29"/>
        <v>-337.80537933333335</v>
      </c>
      <c r="E60" s="2">
        <f t="shared" si="29"/>
        <v>-313.30721933333336</v>
      </c>
      <c r="F60" s="2">
        <f t="shared" si="29"/>
        <v>-280.64354813333347</v>
      </c>
      <c r="G60" s="2">
        <f t="shared" si="29"/>
        <v>-239.42736650533345</v>
      </c>
      <c r="H60" s="2">
        <f t="shared" si="29"/>
        <v>-179.70140599393346</v>
      </c>
      <c r="I60" s="2">
        <f t="shared" si="29"/>
        <v>-118.06529765440644</v>
      </c>
      <c r="J60" s="2">
        <f t="shared" si="29"/>
        <v>-54.59718389790305</v>
      </c>
      <c r="K60" s="2">
        <f t="shared" si="29"/>
        <v>10.602174977643003</v>
      </c>
      <c r="L60" s="2">
        <f t="shared" si="29"/>
        <v>77.40966820821099</v>
      </c>
      <c r="M60" s="2">
        <f t="shared" si="29"/>
        <v>145.6805637018488</v>
      </c>
      <c r="N60" s="2">
        <f t="shared" si="29"/>
        <v>205.8747060602958</v>
      </c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 t="s">
        <v>43</v>
      </c>
      <c r="B62" s="2">
        <f>1/POWER(1.2,0.5)</f>
        <v>0.9128709291752769</v>
      </c>
      <c r="C62" s="2">
        <f>1/POWER(1.2,1.5)</f>
        <v>0.7607257743127307</v>
      </c>
      <c r="D62" s="2">
        <f>1/POWER(1.2,2.5)</f>
        <v>0.633938145260609</v>
      </c>
      <c r="E62" s="2">
        <f>1/POWER(1.2,3.5)</f>
        <v>0.5282817877171742</v>
      </c>
      <c r="F62" s="2">
        <f>1/POWER(1.2,4.5)</f>
        <v>0.44023482309764517</v>
      </c>
      <c r="G62" s="2">
        <f>1/POWER(1.2,5.5)</f>
        <v>0.36686235258137107</v>
      </c>
      <c r="H62" s="2">
        <f>1/POWER(1.2,6.5)</f>
        <v>0.3057186271511425</v>
      </c>
      <c r="I62" s="2">
        <f>1/POWER(1.2,7.5)</f>
        <v>0.25476552262595203</v>
      </c>
      <c r="J62" s="2">
        <f>1/POWER(1.2,8.5)</f>
        <v>0.21230460218829345</v>
      </c>
      <c r="K62" s="2">
        <f>1/POWER(1.2,9.5)</f>
        <v>0.17692050182357785</v>
      </c>
      <c r="L62" s="2">
        <f>1/POWER(1.2,10.5)</f>
        <v>0.14743375151964822</v>
      </c>
      <c r="M62" s="2">
        <f>1/POWER(1.2,11.5)</f>
        <v>0.12286145959970685</v>
      </c>
      <c r="N62" s="2">
        <f>1/POWER(1.2,12.5)</f>
        <v>0.1023845496664224</v>
      </c>
    </row>
    <row r="63" spans="1:14" ht="12.75">
      <c r="A63" s="2" t="s">
        <v>44</v>
      </c>
      <c r="B63" s="2">
        <f>B59*B62</f>
        <v>-113.19599521773434</v>
      </c>
      <c r="C63" s="2">
        <f aca="true" t="shared" si="30" ref="C63:N63">C59*C62</f>
        <v>-112.3865829938656</v>
      </c>
      <c r="D63" s="2">
        <f t="shared" si="30"/>
        <v>-41.88389979309297</v>
      </c>
      <c r="E63" s="2">
        <f t="shared" si="30"/>
        <v>12.941931760581372</v>
      </c>
      <c r="F63" s="2">
        <f t="shared" si="30"/>
        <v>14.37968551245161</v>
      </c>
      <c r="G63" s="2">
        <f t="shared" si="30"/>
        <v>15.120665356469164</v>
      </c>
      <c r="H63" s="2">
        <f t="shared" si="30"/>
        <v>18.25933865282855</v>
      </c>
      <c r="I63" s="2">
        <f t="shared" si="30"/>
        <v>15.702755353749403</v>
      </c>
      <c r="J63" s="2">
        <f t="shared" si="30"/>
        <v>13.474572642715806</v>
      </c>
      <c r="K63" s="2">
        <f t="shared" si="30"/>
        <v>11.535103290837153</v>
      </c>
      <c r="L63" s="2">
        <f t="shared" si="30"/>
        <v>9.84967935660614</v>
      </c>
      <c r="M63" s="2">
        <f t="shared" si="30"/>
        <v>8.38786186852739</v>
      </c>
      <c r="N63" s="2">
        <f t="shared" si="30"/>
        <v>6.162950157926119</v>
      </c>
    </row>
    <row r="64" spans="1:14" ht="12.75">
      <c r="A64" s="2" t="s">
        <v>45</v>
      </c>
      <c r="B64" s="2">
        <f>B60*B62</f>
        <v>-113.19599521773434</v>
      </c>
      <c r="C64" s="2">
        <f>C60*C62</f>
        <v>-206.71657900864417</v>
      </c>
      <c r="D64" s="2">
        <f aca="true" t="shared" si="31" ref="D64:N64">D60*D62</f>
        <v>-214.1477156336298</v>
      </c>
      <c r="E64" s="2">
        <f t="shared" si="31"/>
        <v>-165.51449793411015</v>
      </c>
      <c r="F64" s="2">
        <f t="shared" si="31"/>
        <v>-123.54906276597353</v>
      </c>
      <c r="G64" s="2">
        <f t="shared" si="31"/>
        <v>-87.83688694850879</v>
      </c>
      <c r="H64" s="2">
        <f t="shared" si="31"/>
        <v>-54.93806713759543</v>
      </c>
      <c r="I64" s="2">
        <f t="shared" si="31"/>
        <v>-30.078967260913444</v>
      </c>
      <c r="J64" s="2">
        <f t="shared" si="31"/>
        <v>-11.591233408045408</v>
      </c>
      <c r="K64" s="2">
        <f t="shared" si="31"/>
        <v>1.8757421174659803</v>
      </c>
      <c r="L64" s="2">
        <f t="shared" si="31"/>
        <v>11.412797787827792</v>
      </c>
      <c r="M64" s="2">
        <f t="shared" si="31"/>
        <v>17.898526691717215</v>
      </c>
      <c r="N64" s="2">
        <f t="shared" si="31"/>
        <v>21.078389067690466</v>
      </c>
    </row>
    <row r="65" spans="1:14" ht="12.75">
      <c r="A65" s="2" t="s">
        <v>46</v>
      </c>
      <c r="B65" s="2">
        <f>B10*B62</f>
        <v>91.28709291752769</v>
      </c>
      <c r="C65" s="2">
        <f>C10*C62</f>
        <v>76.07257743127307</v>
      </c>
      <c r="D65" s="2">
        <f>D10*D62</f>
        <v>31.69690726303045</v>
      </c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 t="s">
        <v>47</v>
      </c>
      <c r="B66" s="2">
        <f>B65</f>
        <v>91.28709291752769</v>
      </c>
      <c r="C66" s="2">
        <f>B66+C65</f>
        <v>167.35967034880076</v>
      </c>
      <c r="D66" s="2">
        <f>C66+D65</f>
        <v>199.05657761183122</v>
      </c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 t="s">
        <v>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>
        <f>N64</f>
        <v>21.078389067690466</v>
      </c>
    </row>
    <row r="68" spans="1:14" ht="12.75">
      <c r="A68" s="2" t="s">
        <v>49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>
        <f>N67/D66</f>
        <v>0.10589144714822848</v>
      </c>
    </row>
    <row r="69" spans="1:14" ht="12.75">
      <c r="A69" s="2" t="s">
        <v>50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>
        <v>6.129</v>
      </c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 t="s">
        <v>43</v>
      </c>
      <c r="B71" s="2">
        <f>1/POWER(1.15,0.5)</f>
        <v>0.9325048082403138</v>
      </c>
      <c r="C71" s="2">
        <f>1/POWER(1.15,1.5)</f>
        <v>0.8108737462959251</v>
      </c>
      <c r="D71" s="2">
        <f>1/POWER(1.15,2.5)</f>
        <v>0.7051076054747175</v>
      </c>
      <c r="E71" s="2">
        <f>1/POWER(1.15,3.5)</f>
        <v>0.6131370482388848</v>
      </c>
      <c r="F71" s="2">
        <f>1/POWER(1.15,4.5)</f>
        <v>0.5331626506425087</v>
      </c>
      <c r="G71" s="2">
        <f>1/POWER(1.15,5.5)</f>
        <v>0.4636196962108771</v>
      </c>
      <c r="H71" s="2">
        <f>1/POWER(1.15,6.5)</f>
        <v>0.40314756192250184</v>
      </c>
      <c r="I71" s="2">
        <f>1/POWER(1.15,7.5)</f>
        <v>0.35056309732391466</v>
      </c>
      <c r="J71" s="2">
        <f>1/POWER(1.15,8.5)</f>
        <v>0.30483747593383886</v>
      </c>
      <c r="K71" s="2">
        <f>1/POWER(1.15,9.5)</f>
        <v>0.26507606602942513</v>
      </c>
      <c r="L71" s="2">
        <f>1/POWER(1.15,10.5)</f>
        <v>0.23050092698210878</v>
      </c>
      <c r="M71" s="2">
        <f>1/POWER(1.15,11.5)</f>
        <v>0.20043558868009465</v>
      </c>
      <c r="N71" s="2">
        <f>1/POWER(1.15,12.5)</f>
        <v>0.17429181624356058</v>
      </c>
    </row>
    <row r="72" spans="1:14" ht="12.75">
      <c r="A72" s="2" t="s">
        <v>44</v>
      </c>
      <c r="B72" s="2">
        <f>B59*B71</f>
        <v>-115.63059622179891</v>
      </c>
      <c r="C72" s="2">
        <f aca="true" t="shared" si="32" ref="C72:H72">C59*C71</f>
        <v>-119.7952437827748</v>
      </c>
      <c r="D72" s="2">
        <f t="shared" si="32"/>
        <v>-46.58602185692748</v>
      </c>
      <c r="E72" s="2">
        <f t="shared" si="32"/>
        <v>15.020729509683925</v>
      </c>
      <c r="F72" s="2">
        <f t="shared" si="32"/>
        <v>17.415049516707327</v>
      </c>
      <c r="G72" s="2">
        <f t="shared" si="32"/>
        <v>19.108633605345695</v>
      </c>
      <c r="H72" s="2">
        <f t="shared" si="32"/>
        <v>24.078375363650522</v>
      </c>
      <c r="I72" s="2">
        <f aca="true" t="shared" si="33" ref="I72:N72">I59*I71</f>
        <v>21.60734504649696</v>
      </c>
      <c r="J72" s="2">
        <f t="shared" si="33"/>
        <v>19.347459599814247</v>
      </c>
      <c r="K72" s="2">
        <f t="shared" si="33"/>
        <v>17.282789558370432</v>
      </c>
      <c r="L72" s="2">
        <f t="shared" si="33"/>
        <v>15.399189118996878</v>
      </c>
      <c r="M72" s="2">
        <f t="shared" si="33"/>
        <v>13.683917127984515</v>
      </c>
      <c r="N72" s="2">
        <f t="shared" si="33"/>
        <v>10.491346398877173</v>
      </c>
    </row>
    <row r="73" spans="1:14" ht="12.75">
      <c r="A73" s="2" t="s">
        <v>45</v>
      </c>
      <c r="B73" s="2">
        <f>B60*B71</f>
        <v>-115.63059622179891</v>
      </c>
      <c r="C73" s="2">
        <f aca="true" t="shared" si="34" ref="C73:H73">C60*C71</f>
        <v>-220.3435883234695</v>
      </c>
      <c r="D73" s="2">
        <f t="shared" si="34"/>
        <v>-238.1891421382053</v>
      </c>
      <c r="E73" s="2">
        <f t="shared" si="34"/>
        <v>-192.1002636539729</v>
      </c>
      <c r="F73" s="2">
        <f t="shared" si="34"/>
        <v>-149.62865800848652</v>
      </c>
      <c r="G73" s="2">
        <f t="shared" si="34"/>
        <v>-111.00324292377303</v>
      </c>
      <c r="H73" s="2">
        <f t="shared" si="34"/>
        <v>-72.44618370049993</v>
      </c>
      <c r="I73" s="2">
        <f aca="true" t="shared" si="35" ref="I73:N73">I60*I71</f>
        <v>-41.38933643219864</v>
      </c>
      <c r="J73" s="2">
        <f t="shared" si="35"/>
        <v>-16.643267732532397</v>
      </c>
      <c r="K73" s="2">
        <f t="shared" si="35"/>
        <v>2.8103828344292157</v>
      </c>
      <c r="L73" s="2">
        <f t="shared" si="35"/>
        <v>17.84300027937011</v>
      </c>
      <c r="M73" s="2">
        <f t="shared" si="35"/>
        <v>29.19956954482809</v>
      </c>
      <c r="N73" s="2">
        <f t="shared" si="35"/>
        <v>35.882276437858124</v>
      </c>
    </row>
    <row r="74" spans="1:14" ht="12.75">
      <c r="A74" s="2" t="s">
        <v>46</v>
      </c>
      <c r="B74" s="2">
        <f>B10*B71</f>
        <v>93.25048082403138</v>
      </c>
      <c r="C74" s="2">
        <f>C10*C71</f>
        <v>81.08737462959252</v>
      </c>
      <c r="D74" s="2">
        <f>D10*D71</f>
        <v>35.255380273735874</v>
      </c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 t="s">
        <v>47</v>
      </c>
      <c r="B75" s="2">
        <f>B74</f>
        <v>93.25048082403138</v>
      </c>
      <c r="C75" s="2">
        <f>B75+C74</f>
        <v>174.3378554536239</v>
      </c>
      <c r="D75" s="2">
        <f>C75+D74</f>
        <v>209.59323572735977</v>
      </c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 t="s">
        <v>48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>
        <f>N73</f>
        <v>35.882276437858124</v>
      </c>
    </row>
    <row r="77" spans="1:14" ht="12.75">
      <c r="A77" s="2" t="s">
        <v>49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>
        <f>N76/D75</f>
        <v>0.17119959197793014</v>
      </c>
    </row>
    <row r="78" spans="1:14" ht="12.75">
      <c r="A78" s="2" t="s">
        <v>50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 t="s">
        <v>43</v>
      </c>
      <c r="B80" s="2">
        <f>1/POWER(1.25,0.5)</f>
        <v>0.8944271909999159</v>
      </c>
      <c r="C80" s="2">
        <f>1/POWER(1.25,1.5)</f>
        <v>0.7155417527999327</v>
      </c>
      <c r="D80" s="2">
        <f>1/POWER(1.25,2.5)</f>
        <v>0.5724334022399462</v>
      </c>
      <c r="E80" s="2">
        <f>1/POWER(1.25,3.5)</f>
        <v>0.4579467217919569</v>
      </c>
      <c r="F80" s="2">
        <f>1/POWER(1.25,4.5)</f>
        <v>0.36635737743356556</v>
      </c>
      <c r="G80" s="2">
        <f>1/POWER(1.25,5.5)</f>
        <v>0.29308590194685247</v>
      </c>
      <c r="H80" s="2">
        <f>1/POWER(1.25,6.5)</f>
        <v>0.2344687215574819</v>
      </c>
      <c r="I80" s="2">
        <f>1/POWER(1.25,7.5)</f>
        <v>0.18757497724598554</v>
      </c>
      <c r="J80" s="2">
        <f>1/POWER(1.25,8.5)</f>
        <v>0.15005998179678842</v>
      </c>
      <c r="K80" s="2">
        <f>1/POWER(1.25,9.5)</f>
        <v>0.12004798543743075</v>
      </c>
      <c r="L80" s="2">
        <f>1/POWER(1.25,10.5)</f>
        <v>0.09603838834994462</v>
      </c>
      <c r="M80" s="2">
        <f>1/POWER(1.25,11.5)</f>
        <v>0.0768307106799557</v>
      </c>
      <c r="N80" s="2">
        <f>1/POWER(1.25,12.5)</f>
        <v>0.06146456854396452</v>
      </c>
    </row>
    <row r="81" spans="1:14" ht="12.75">
      <c r="A81" s="2" t="s">
        <v>44</v>
      </c>
      <c r="B81" s="2">
        <f>B59*B80</f>
        <v>-110.90897168398956</v>
      </c>
      <c r="C81" s="2">
        <f aca="true" t="shared" si="36" ref="C81:J81">C59*C80</f>
        <v>-105.71127639165087</v>
      </c>
      <c r="D81" s="2">
        <f t="shared" si="36"/>
        <v>-37.82031959566161</v>
      </c>
      <c r="E81" s="2">
        <f t="shared" si="36"/>
        <v>11.21885206193485</v>
      </c>
      <c r="F81" s="2">
        <f t="shared" si="36"/>
        <v>11.966576918184256</v>
      </c>
      <c r="G81" s="2">
        <f t="shared" si="36"/>
        <v>12.07988176724767</v>
      </c>
      <c r="H81" s="2">
        <f t="shared" si="36"/>
        <v>14.0038696049006</v>
      </c>
      <c r="I81" s="2">
        <f t="shared" si="36"/>
        <v>11.561391619317881</v>
      </c>
      <c r="J81" s="2">
        <f t="shared" si="36"/>
        <v>9.524023994977394</v>
      </c>
      <c r="K81" s="2">
        <f>K59*K80</f>
        <v>7.827051684821374</v>
      </c>
      <c r="L81" s="2">
        <f>L59*L80</f>
        <v>6.4160839795635844</v>
      </c>
      <c r="M81" s="2">
        <f>M59*M80</f>
        <v>5.2453014195331775</v>
      </c>
      <c r="N81" s="2">
        <f>N59*N80</f>
        <v>3.699806988935925</v>
      </c>
    </row>
    <row r="82" spans="1:14" ht="12.75">
      <c r="A82" s="2" t="s">
        <v>45</v>
      </c>
      <c r="B82" s="2">
        <f>B60*B80</f>
        <v>-110.90897168398956</v>
      </c>
      <c r="C82" s="2">
        <f aca="true" t="shared" si="37" ref="C82:J82">C60*C80</f>
        <v>-194.4384537388425</v>
      </c>
      <c r="D82" s="2">
        <f t="shared" si="37"/>
        <v>-193.3710825867356</v>
      </c>
      <c r="E82" s="2">
        <f t="shared" si="37"/>
        <v>-143.47801400745362</v>
      </c>
      <c r="F82" s="2">
        <f t="shared" si="37"/>
        <v>-102.81583428777867</v>
      </c>
      <c r="G82" s="2">
        <f t="shared" si="37"/>
        <v>-70.17278566297527</v>
      </c>
      <c r="H82" s="2">
        <f t="shared" si="37"/>
        <v>-42.134358925479596</v>
      </c>
      <c r="I82" s="2">
        <f t="shared" si="37"/>
        <v>-22.146095521065796</v>
      </c>
      <c r="J82" s="2">
        <f t="shared" si="37"/>
        <v>-8.192852421875243</v>
      </c>
      <c r="K82" s="2">
        <f>K60*K80</f>
        <v>1.2727697473211799</v>
      </c>
      <c r="L82" s="2">
        <f>L60*L80</f>
        <v>7.434299777420528</v>
      </c>
      <c r="M82" s="2">
        <f>M60*M80</f>
        <v>11.192741241469601</v>
      </c>
      <c r="N82" s="2">
        <f>N60*N80</f>
        <v>12.6539999821116</v>
      </c>
    </row>
    <row r="83" spans="1:14" ht="12.75">
      <c r="A83" s="2" t="s">
        <v>46</v>
      </c>
      <c r="B83" s="2">
        <f>B10*B80</f>
        <v>89.44271909999159</v>
      </c>
      <c r="C83" s="2">
        <f>C10*C80</f>
        <v>71.55417527999327</v>
      </c>
      <c r="D83" s="2">
        <f>D10*D80</f>
        <v>28.62167011199731</v>
      </c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 t="s">
        <v>47</v>
      </c>
      <c r="B84" s="2">
        <f>B83</f>
        <v>89.44271909999159</v>
      </c>
      <c r="C84" s="2">
        <f>B84+C83</f>
        <v>160.99689437998487</v>
      </c>
      <c r="D84" s="2">
        <f>C84+D83</f>
        <v>189.61856449198217</v>
      </c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 t="s">
        <v>48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f>N82</f>
        <v>12.6539999821116</v>
      </c>
    </row>
    <row r="86" spans="1:14" ht="12.75">
      <c r="A86" s="2" t="s">
        <v>49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>
        <f>N85/D84</f>
        <v>0.06673397204547797</v>
      </c>
    </row>
    <row r="87" ht="12.75">
      <c r="A87" t="s">
        <v>50</v>
      </c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94"/>
  <sheetViews>
    <sheetView zoomScalePageLayoutView="0" workbookViewId="0" topLeftCell="A82">
      <selection activeCell="B99" sqref="B99"/>
    </sheetView>
  </sheetViews>
  <sheetFormatPr defaultColWidth="9.00390625" defaultRowHeight="12.75"/>
  <sheetData>
    <row r="3" ht="12.75">
      <c r="A3" t="s">
        <v>1</v>
      </c>
    </row>
    <row r="5" spans="1:14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</row>
    <row r="6" ht="12.75">
      <c r="A6" t="s">
        <v>16</v>
      </c>
    </row>
    <row r="7" spans="1:14" ht="12.75">
      <c r="A7" t="s">
        <v>17</v>
      </c>
      <c r="B7">
        <v>0</v>
      </c>
      <c r="C7">
        <v>0</v>
      </c>
      <c r="D7">
        <v>200</v>
      </c>
      <c r="E7">
        <v>300</v>
      </c>
      <c r="F7">
        <f aca="true" t="shared" si="0" ref="F7:N7">E7</f>
        <v>300</v>
      </c>
      <c r="G7">
        <f t="shared" si="0"/>
        <v>300</v>
      </c>
      <c r="H7">
        <f t="shared" si="0"/>
        <v>300</v>
      </c>
      <c r="I7">
        <f t="shared" si="0"/>
        <v>300</v>
      </c>
      <c r="J7">
        <f t="shared" si="0"/>
        <v>300</v>
      </c>
      <c r="K7">
        <f t="shared" si="0"/>
        <v>300</v>
      </c>
      <c r="L7">
        <f t="shared" si="0"/>
        <v>300</v>
      </c>
      <c r="M7">
        <f t="shared" si="0"/>
        <v>300</v>
      </c>
      <c r="N7">
        <f t="shared" si="0"/>
        <v>300</v>
      </c>
    </row>
    <row r="8" spans="1:14" ht="12.75">
      <c r="A8" t="s">
        <v>18</v>
      </c>
      <c r="B8">
        <v>0</v>
      </c>
      <c r="C8">
        <v>0</v>
      </c>
      <c r="D8">
        <v>70</v>
      </c>
      <c r="E8">
        <v>100</v>
      </c>
      <c r="F8">
        <f aca="true" t="shared" si="1" ref="F8:N8">E8</f>
        <v>100</v>
      </c>
      <c r="G8">
        <f t="shared" si="1"/>
        <v>100</v>
      </c>
      <c r="H8">
        <f t="shared" si="1"/>
        <v>100</v>
      </c>
      <c r="I8">
        <f t="shared" si="1"/>
        <v>100</v>
      </c>
      <c r="J8">
        <f t="shared" si="1"/>
        <v>100</v>
      </c>
      <c r="K8">
        <f t="shared" si="1"/>
        <v>100</v>
      </c>
      <c r="L8">
        <f t="shared" si="1"/>
        <v>100</v>
      </c>
      <c r="M8">
        <f t="shared" si="1"/>
        <v>100</v>
      </c>
      <c r="N8">
        <f t="shared" si="1"/>
        <v>100</v>
      </c>
    </row>
    <row r="9" spans="1:14" ht="12.75">
      <c r="A9" t="s">
        <v>19</v>
      </c>
      <c r="B9">
        <v>0</v>
      </c>
      <c r="C9">
        <v>0</v>
      </c>
      <c r="D9">
        <v>100</v>
      </c>
      <c r="E9">
        <v>150</v>
      </c>
      <c r="F9">
        <f aca="true" t="shared" si="2" ref="F9:N9">E9</f>
        <v>150</v>
      </c>
      <c r="G9">
        <f t="shared" si="2"/>
        <v>150</v>
      </c>
      <c r="H9">
        <f t="shared" si="2"/>
        <v>150</v>
      </c>
      <c r="I9">
        <f t="shared" si="2"/>
        <v>150</v>
      </c>
      <c r="J9">
        <f t="shared" si="2"/>
        <v>150</v>
      </c>
      <c r="K9">
        <f t="shared" si="2"/>
        <v>150</v>
      </c>
      <c r="L9">
        <f t="shared" si="2"/>
        <v>150</v>
      </c>
      <c r="M9">
        <f t="shared" si="2"/>
        <v>150</v>
      </c>
      <c r="N9">
        <f t="shared" si="2"/>
        <v>150</v>
      </c>
    </row>
    <row r="10" spans="1:4" ht="12.75">
      <c r="A10" t="s">
        <v>20</v>
      </c>
      <c r="B10">
        <v>100</v>
      </c>
      <c r="C10">
        <v>100</v>
      </c>
      <c r="D10">
        <v>50</v>
      </c>
    </row>
    <row r="11" spans="1:8" ht="12.75">
      <c r="A11" t="s">
        <v>21</v>
      </c>
      <c r="B11">
        <f>B10</f>
        <v>100</v>
      </c>
      <c r="C11">
        <f>B11+C10</f>
        <v>200</v>
      </c>
      <c r="D11">
        <f>C11+D10</f>
        <v>250</v>
      </c>
      <c r="E11">
        <f>D11-E49+E50</f>
        <v>207.6936</v>
      </c>
      <c r="F11">
        <f>E11-F49+F50</f>
        <v>162.42575199999996</v>
      </c>
      <c r="G11">
        <f>F11-G49+G50</f>
        <v>114.21549387999995</v>
      </c>
      <c r="H11">
        <v>0</v>
      </c>
    </row>
    <row r="12" spans="1:14" ht="12.75">
      <c r="A12" t="s">
        <v>22</v>
      </c>
      <c r="F12">
        <v>1.07</v>
      </c>
      <c r="G12">
        <f aca="true" t="shared" si="3" ref="G12:N12">F12-0.005</f>
        <v>1.0650000000000002</v>
      </c>
      <c r="H12">
        <f t="shared" si="3"/>
        <v>1.0600000000000003</v>
      </c>
      <c r="I12">
        <f t="shared" si="3"/>
        <v>1.0550000000000004</v>
      </c>
      <c r="J12">
        <f t="shared" si="3"/>
        <v>1.0500000000000005</v>
      </c>
      <c r="K12">
        <f t="shared" si="3"/>
        <v>1.0450000000000006</v>
      </c>
      <c r="L12">
        <f t="shared" si="3"/>
        <v>1.0400000000000007</v>
      </c>
      <c r="M12">
        <f t="shared" si="3"/>
        <v>1.0350000000000008</v>
      </c>
      <c r="N12">
        <f t="shared" si="3"/>
        <v>1.030000000000001</v>
      </c>
    </row>
    <row r="13" ht="12.75">
      <c r="A13" t="s">
        <v>23</v>
      </c>
    </row>
    <row r="14" spans="1:14" ht="12.75">
      <c r="A14" t="s">
        <v>17</v>
      </c>
      <c r="D14">
        <f>E14*D7/E7</f>
        <v>23.569333333333336</v>
      </c>
      <c r="E14">
        <f>1.1*32.14</f>
        <v>35.354000000000006</v>
      </c>
      <c r="F14">
        <f>E14*$F$12</f>
        <v>37.82878000000001</v>
      </c>
      <c r="G14">
        <f>F14*$G$12</f>
        <v>40.287650700000015</v>
      </c>
      <c r="H14">
        <f>G14*$H$12</f>
        <v>42.70490974200003</v>
      </c>
      <c r="I14">
        <f>H14*$I$12</f>
        <v>45.053679777810046</v>
      </c>
      <c r="J14">
        <f>I14*$J$12</f>
        <v>47.30636376670057</v>
      </c>
      <c r="K14">
        <f>J14*$K$12</f>
        <v>49.435150136202125</v>
      </c>
      <c r="L14">
        <f>K14*$L$12</f>
        <v>51.41255614165024</v>
      </c>
      <c r="M14">
        <f>L14*$M$12</f>
        <v>53.21199560660804</v>
      </c>
      <c r="N14">
        <f>M14*$N$12</f>
        <v>54.80835547480633</v>
      </c>
    </row>
    <row r="15" spans="1:14" ht="12.75">
      <c r="A15" t="s">
        <v>18</v>
      </c>
      <c r="D15">
        <f>E15*D8/E8</f>
        <v>14.8533</v>
      </c>
      <c r="E15">
        <f>1.1*19.29</f>
        <v>21.219</v>
      </c>
      <c r="F15">
        <f>E15*$F$12</f>
        <v>22.704330000000002</v>
      </c>
      <c r="G15">
        <f>F15*$G$12</f>
        <v>24.180111450000005</v>
      </c>
      <c r="H15">
        <f>G15*$H$12</f>
        <v>25.630918137000013</v>
      </c>
      <c r="I15">
        <f>H15*$I$12</f>
        <v>27.040618634535022</v>
      </c>
      <c r="J15">
        <f>I15*$J$12</f>
        <v>28.392649566261788</v>
      </c>
      <c r="K15">
        <f>J15*$K$12</f>
        <v>29.670318796743587</v>
      </c>
      <c r="L15">
        <f>K15*$L$12</f>
        <v>30.85713154861335</v>
      </c>
      <c r="M15">
        <f>L15*$M$12</f>
        <v>31.937131152814842</v>
      </c>
      <c r="N15">
        <f>M15*$N$12</f>
        <v>32.89524508739932</v>
      </c>
    </row>
    <row r="16" spans="1:14" ht="12.75">
      <c r="A16" t="s">
        <v>19</v>
      </c>
      <c r="D16">
        <f>E16*D9/E9</f>
        <v>20.438000000000002</v>
      </c>
      <c r="E16">
        <f>1.1*27.87</f>
        <v>30.657000000000004</v>
      </c>
      <c r="F16">
        <f>E16*$F$12</f>
        <v>32.80299000000001</v>
      </c>
      <c r="G16">
        <f>F16*$G$12</f>
        <v>34.935184350000014</v>
      </c>
      <c r="H16">
        <f>G16*$H$12</f>
        <v>37.03129541100002</v>
      </c>
      <c r="I16">
        <f>H16*$I$12</f>
        <v>39.06801665860504</v>
      </c>
      <c r="J16">
        <f>I16*$J$12</f>
        <v>41.02141749153531</v>
      </c>
      <c r="K16">
        <f>J16*$K$12</f>
        <v>42.86738127865442</v>
      </c>
      <c r="L16">
        <f>K16*$L$12</f>
        <v>44.58207652980063</v>
      </c>
      <c r="M16">
        <f>L16*$M$12</f>
        <v>46.14244920834369</v>
      </c>
      <c r="N16">
        <f>M16*$N$12</f>
        <v>47.52672268459404</v>
      </c>
    </row>
    <row r="17" ht="12.75">
      <c r="A17" t="s">
        <v>24</v>
      </c>
    </row>
    <row r="18" spans="1:14" ht="12.75">
      <c r="A18" t="s">
        <v>17</v>
      </c>
      <c r="D18">
        <f>E18*D7/E7</f>
        <v>50</v>
      </c>
      <c r="E18">
        <f>75</f>
        <v>75</v>
      </c>
      <c r="F18">
        <f>E18*$F$12</f>
        <v>80.25</v>
      </c>
      <c r="G18">
        <f>F18*$G$12</f>
        <v>85.46625000000002</v>
      </c>
      <c r="H18">
        <f>G18*$H$12</f>
        <v>90.59422500000004</v>
      </c>
      <c r="I18">
        <f>H18*$I$12</f>
        <v>95.57690737500008</v>
      </c>
      <c r="J18">
        <f>I18*$J$12</f>
        <v>100.35575274375013</v>
      </c>
      <c r="K18">
        <f>J18*$K$12</f>
        <v>104.87176161721895</v>
      </c>
      <c r="L18">
        <f>K18*$L$12</f>
        <v>109.06663208190778</v>
      </c>
      <c r="M18">
        <f>L18*$M$12</f>
        <v>112.88396420477464</v>
      </c>
      <c r="N18">
        <f>M18*$N$12</f>
        <v>116.27048313091798</v>
      </c>
    </row>
    <row r="19" spans="1:14" ht="12.75">
      <c r="A19" t="s">
        <v>18</v>
      </c>
      <c r="D19">
        <f>E19*D8/E8</f>
        <v>31.5</v>
      </c>
      <c r="E19">
        <f>45</f>
        <v>45</v>
      </c>
      <c r="F19">
        <f>E19*$F$12</f>
        <v>48.150000000000006</v>
      </c>
      <c r="G19">
        <f>F19*$G$12</f>
        <v>51.279750000000014</v>
      </c>
      <c r="H19">
        <f>G19*$H$12</f>
        <v>54.35653500000003</v>
      </c>
      <c r="I19">
        <f>H19*$I$12</f>
        <v>57.34614442500005</v>
      </c>
      <c r="J19">
        <f>I19*$J$12</f>
        <v>60.21345164625008</v>
      </c>
      <c r="K19">
        <f>J19*$K$12</f>
        <v>62.923056970331366</v>
      </c>
      <c r="L19">
        <f>K19*$L$12</f>
        <v>65.43997924914467</v>
      </c>
      <c r="M19">
        <f>L19*$M$12</f>
        <v>67.73037852286478</v>
      </c>
      <c r="N19">
        <f>M19*$N$12</f>
        <v>69.76228987855079</v>
      </c>
    </row>
    <row r="20" spans="1:14" ht="12.75">
      <c r="A20" t="s">
        <v>19</v>
      </c>
      <c r="D20">
        <f>E20*D9/E9</f>
        <v>43.333333333333336</v>
      </c>
      <c r="E20">
        <f>65</f>
        <v>65</v>
      </c>
      <c r="F20">
        <f>E20*$F$12</f>
        <v>69.55</v>
      </c>
      <c r="G20">
        <f>F20*$G$12</f>
        <v>74.07075</v>
      </c>
      <c r="H20">
        <f>G20*$H$12</f>
        <v>78.51499500000003</v>
      </c>
      <c r="I20">
        <f>H20*$I$12</f>
        <v>82.83331972500005</v>
      </c>
      <c r="J20">
        <f>I20*$J$12</f>
        <v>86.9749857112501</v>
      </c>
      <c r="K20">
        <f>J20*$K$12</f>
        <v>90.8888600682564</v>
      </c>
      <c r="L20">
        <f>K20*$L$12</f>
        <v>94.52441447098673</v>
      </c>
      <c r="M20">
        <f>L20*$M$12</f>
        <v>97.83276897747133</v>
      </c>
      <c r="N20">
        <f>M20*$N$12</f>
        <v>100.76775204679556</v>
      </c>
    </row>
    <row r="21" ht="12.75">
      <c r="A21" t="s">
        <v>25</v>
      </c>
    </row>
    <row r="22" spans="1:14" ht="12.75">
      <c r="A22" t="s">
        <v>17</v>
      </c>
      <c r="D22">
        <f aca="true" t="shared" si="4" ref="D22:N22">D18*1000/D7</f>
        <v>250</v>
      </c>
      <c r="E22">
        <f t="shared" si="4"/>
        <v>250</v>
      </c>
      <c r="F22">
        <f t="shared" si="4"/>
        <v>267.5</v>
      </c>
      <c r="G22">
        <f t="shared" si="4"/>
        <v>284.88750000000005</v>
      </c>
      <c r="H22">
        <f t="shared" si="4"/>
        <v>301.9807500000001</v>
      </c>
      <c r="I22">
        <f t="shared" si="4"/>
        <v>318.58969125000027</v>
      </c>
      <c r="J22">
        <f t="shared" si="4"/>
        <v>334.5191758125004</v>
      </c>
      <c r="K22">
        <f t="shared" si="4"/>
        <v>349.5725387240631</v>
      </c>
      <c r="L22">
        <f t="shared" si="4"/>
        <v>363.5554402730259</v>
      </c>
      <c r="M22">
        <f t="shared" si="4"/>
        <v>376.27988068258213</v>
      </c>
      <c r="N22">
        <f t="shared" si="4"/>
        <v>387.5682771030599</v>
      </c>
    </row>
    <row r="23" spans="1:14" ht="12.75">
      <c r="A23" t="s">
        <v>18</v>
      </c>
      <c r="D23">
        <f aca="true" t="shared" si="5" ref="D23:N23">D19*1000/D8</f>
        <v>450</v>
      </c>
      <c r="E23">
        <f t="shared" si="5"/>
        <v>450</v>
      </c>
      <c r="F23">
        <f t="shared" si="5"/>
        <v>481.50000000000006</v>
      </c>
      <c r="G23">
        <f t="shared" si="5"/>
        <v>512.7975000000001</v>
      </c>
      <c r="H23">
        <f t="shared" si="5"/>
        <v>543.5653500000003</v>
      </c>
      <c r="I23">
        <f t="shared" si="5"/>
        <v>573.4614442500005</v>
      </c>
      <c r="J23">
        <f t="shared" si="5"/>
        <v>602.1345164625008</v>
      </c>
      <c r="K23">
        <f t="shared" si="5"/>
        <v>629.2305697033137</v>
      </c>
      <c r="L23">
        <f t="shared" si="5"/>
        <v>654.3997924914468</v>
      </c>
      <c r="M23">
        <f t="shared" si="5"/>
        <v>677.3037852286477</v>
      </c>
      <c r="N23">
        <f t="shared" si="5"/>
        <v>697.6228987855079</v>
      </c>
    </row>
    <row r="24" spans="1:14" ht="12.75">
      <c r="A24" t="s">
        <v>19</v>
      </c>
      <c r="D24">
        <f aca="true" t="shared" si="6" ref="D24:N24">D20*1000/D9</f>
        <v>433.33333333333337</v>
      </c>
      <c r="E24">
        <f t="shared" si="6"/>
        <v>433.3333333333333</v>
      </c>
      <c r="F24">
        <f t="shared" si="6"/>
        <v>463.6666666666667</v>
      </c>
      <c r="G24">
        <f t="shared" si="6"/>
        <v>493.805</v>
      </c>
      <c r="H24">
        <f t="shared" si="6"/>
        <v>523.4333000000001</v>
      </c>
      <c r="I24">
        <f t="shared" si="6"/>
        <v>552.2221315000004</v>
      </c>
      <c r="J24">
        <f t="shared" si="6"/>
        <v>579.8332380750007</v>
      </c>
      <c r="K24">
        <f t="shared" si="6"/>
        <v>605.925733788376</v>
      </c>
      <c r="L24">
        <f t="shared" si="6"/>
        <v>630.1627631399115</v>
      </c>
      <c r="M24">
        <f t="shared" si="6"/>
        <v>652.2184598498089</v>
      </c>
      <c r="N24">
        <f t="shared" si="6"/>
        <v>671.7850136453037</v>
      </c>
    </row>
    <row r="25" ht="12.75">
      <c r="A25" t="s">
        <v>26</v>
      </c>
    </row>
    <row r="26" spans="1:14" ht="12.75">
      <c r="A26" t="s">
        <v>17</v>
      </c>
      <c r="D26">
        <f aca="true" t="shared" si="7" ref="D26:N26">D14+D18</f>
        <v>73.56933333333333</v>
      </c>
      <c r="E26">
        <f t="shared" si="7"/>
        <v>110.35400000000001</v>
      </c>
      <c r="F26">
        <f t="shared" si="7"/>
        <v>118.07878000000001</v>
      </c>
      <c r="G26">
        <f t="shared" si="7"/>
        <v>125.75390070000003</v>
      </c>
      <c r="H26">
        <f t="shared" si="7"/>
        <v>133.29913474200006</v>
      </c>
      <c r="I26">
        <f t="shared" si="7"/>
        <v>140.6305871528101</v>
      </c>
      <c r="J26">
        <f t="shared" si="7"/>
        <v>147.6621165104507</v>
      </c>
      <c r="K26">
        <f t="shared" si="7"/>
        <v>154.30691175342108</v>
      </c>
      <c r="L26">
        <f t="shared" si="7"/>
        <v>160.47918822355803</v>
      </c>
      <c r="M26">
        <f t="shared" si="7"/>
        <v>166.09595981138267</v>
      </c>
      <c r="N26">
        <f t="shared" si="7"/>
        <v>171.07883860572431</v>
      </c>
    </row>
    <row r="27" spans="1:14" ht="12.75">
      <c r="A27" t="s">
        <v>18</v>
      </c>
      <c r="D27">
        <f aca="true" t="shared" si="8" ref="D27:N27">D15+D19</f>
        <v>46.353300000000004</v>
      </c>
      <c r="E27">
        <f t="shared" si="8"/>
        <v>66.219</v>
      </c>
      <c r="F27">
        <f t="shared" si="8"/>
        <v>70.85433</v>
      </c>
      <c r="G27">
        <f t="shared" si="8"/>
        <v>75.45986145000002</v>
      </c>
      <c r="H27">
        <f t="shared" si="8"/>
        <v>79.98745313700005</v>
      </c>
      <c r="I27">
        <f t="shared" si="8"/>
        <v>84.38676305953507</v>
      </c>
      <c r="J27">
        <f t="shared" si="8"/>
        <v>88.60610121251187</v>
      </c>
      <c r="K27">
        <f t="shared" si="8"/>
        <v>92.59337576707495</v>
      </c>
      <c r="L27">
        <f t="shared" si="8"/>
        <v>96.29711079775802</v>
      </c>
      <c r="M27">
        <f t="shared" si="8"/>
        <v>99.66750967567963</v>
      </c>
      <c r="N27">
        <f t="shared" si="8"/>
        <v>102.6575349659501</v>
      </c>
    </row>
    <row r="28" spans="1:15" ht="12.75">
      <c r="A28" t="s">
        <v>19</v>
      </c>
      <c r="D28">
        <f aca="true" t="shared" si="9" ref="D28:N28">D16+D20</f>
        <v>63.77133333333334</v>
      </c>
      <c r="E28">
        <f t="shared" si="9"/>
        <v>95.65700000000001</v>
      </c>
      <c r="F28">
        <f t="shared" si="9"/>
        <v>102.35299</v>
      </c>
      <c r="G28">
        <f t="shared" si="9"/>
        <v>109.00593435000002</v>
      </c>
      <c r="H28">
        <f t="shared" si="9"/>
        <v>115.54629041100006</v>
      </c>
      <c r="I28">
        <f t="shared" si="9"/>
        <v>121.9013363836051</v>
      </c>
      <c r="J28">
        <f t="shared" si="9"/>
        <v>127.99640320278542</v>
      </c>
      <c r="K28">
        <f t="shared" si="9"/>
        <v>133.75624134691083</v>
      </c>
      <c r="L28">
        <f t="shared" si="9"/>
        <v>139.10649100078734</v>
      </c>
      <c r="M28">
        <f t="shared" si="9"/>
        <v>143.97521818581504</v>
      </c>
      <c r="N28">
        <f t="shared" si="9"/>
        <v>148.2944747313896</v>
      </c>
      <c r="O28">
        <f>SUM(D26:N28)</f>
        <v>3705.7548038438163</v>
      </c>
    </row>
    <row r="29" ht="12.75">
      <c r="A29" t="s">
        <v>27</v>
      </c>
    </row>
    <row r="30" spans="1:14" ht="12.75">
      <c r="A30" t="s">
        <v>17</v>
      </c>
      <c r="D30">
        <f aca="true" t="shared" si="10" ref="D30:N30">D26/(D26+D27+D28)*100</f>
        <v>40.0499453892425</v>
      </c>
      <c r="E30">
        <f t="shared" si="10"/>
        <v>40.537045880321784</v>
      </c>
      <c r="F30">
        <f t="shared" si="10"/>
        <v>40.537045880321784</v>
      </c>
      <c r="G30">
        <f t="shared" si="10"/>
        <v>40.537045880321784</v>
      </c>
      <c r="H30">
        <f t="shared" si="10"/>
        <v>40.537045880321784</v>
      </c>
      <c r="I30">
        <f t="shared" si="10"/>
        <v>40.537045880321784</v>
      </c>
      <c r="J30">
        <f t="shared" si="10"/>
        <v>40.537045880321784</v>
      </c>
      <c r="K30">
        <f t="shared" si="10"/>
        <v>40.53704588032179</v>
      </c>
      <c r="L30">
        <f t="shared" si="10"/>
        <v>40.53704588032179</v>
      </c>
      <c r="M30">
        <f t="shared" si="10"/>
        <v>40.537045880321784</v>
      </c>
      <c r="N30">
        <f t="shared" si="10"/>
        <v>40.537045880321784</v>
      </c>
    </row>
    <row r="31" spans="1:14" ht="12.75">
      <c r="A31" t="s">
        <v>18</v>
      </c>
      <c r="D31">
        <f aca="true" t="shared" si="11" ref="D31:N31">D27/(D27+D28+D26)*100</f>
        <v>25.233980647885552</v>
      </c>
      <c r="E31">
        <f t="shared" si="11"/>
        <v>24.32465194871983</v>
      </c>
      <c r="F31">
        <f t="shared" si="11"/>
        <v>24.32465194871983</v>
      </c>
      <c r="G31">
        <f t="shared" si="11"/>
        <v>24.324651948719833</v>
      </c>
      <c r="H31">
        <f t="shared" si="11"/>
        <v>24.324651948719833</v>
      </c>
      <c r="I31">
        <f t="shared" si="11"/>
        <v>24.324651948719836</v>
      </c>
      <c r="J31">
        <f t="shared" si="11"/>
        <v>24.324651948719836</v>
      </c>
      <c r="K31">
        <f t="shared" si="11"/>
        <v>24.32465194871983</v>
      </c>
      <c r="L31">
        <f t="shared" si="11"/>
        <v>24.324651948719833</v>
      </c>
      <c r="M31">
        <f t="shared" si="11"/>
        <v>24.324651948719833</v>
      </c>
      <c r="N31">
        <f t="shared" si="11"/>
        <v>24.324651948719833</v>
      </c>
    </row>
    <row r="32" spans="1:14" ht="12.75">
      <c r="A32" t="s">
        <v>19</v>
      </c>
      <c r="D32">
        <f aca="true" t="shared" si="12" ref="D32:N32">D28/(D26+D27+D28)*100</f>
        <v>34.71607396287194</v>
      </c>
      <c r="E32">
        <f t="shared" si="12"/>
        <v>35.13830217095838</v>
      </c>
      <c r="F32">
        <f t="shared" si="12"/>
        <v>35.13830217095838</v>
      </c>
      <c r="G32">
        <f t="shared" si="12"/>
        <v>35.13830217095838</v>
      </c>
      <c r="H32">
        <f t="shared" si="12"/>
        <v>35.13830217095838</v>
      </c>
      <c r="I32">
        <f t="shared" si="12"/>
        <v>35.13830217095838</v>
      </c>
      <c r="J32">
        <f t="shared" si="12"/>
        <v>35.13830217095838</v>
      </c>
      <c r="K32">
        <f t="shared" si="12"/>
        <v>35.13830217095838</v>
      </c>
      <c r="L32">
        <f t="shared" si="12"/>
        <v>35.138302170958376</v>
      </c>
      <c r="M32">
        <f t="shared" si="12"/>
        <v>35.13830217095838</v>
      </c>
      <c r="N32">
        <f t="shared" si="12"/>
        <v>35.138302170958376</v>
      </c>
    </row>
    <row r="33" ht="12.75">
      <c r="A33" t="s">
        <v>28</v>
      </c>
    </row>
    <row r="34" spans="1:14" ht="12.75">
      <c r="A34" t="s">
        <v>17</v>
      </c>
      <c r="D34">
        <f aca="true" t="shared" si="13" ref="D34:N34">D26/D7*1000</f>
        <v>367.84666666666664</v>
      </c>
      <c r="E34">
        <f t="shared" si="13"/>
        <v>367.8466666666667</v>
      </c>
      <c r="F34">
        <f t="shared" si="13"/>
        <v>393.5959333333334</v>
      </c>
      <c r="G34">
        <f t="shared" si="13"/>
        <v>419.1796690000001</v>
      </c>
      <c r="H34">
        <f t="shared" si="13"/>
        <v>444.3304491400002</v>
      </c>
      <c r="I34">
        <f t="shared" si="13"/>
        <v>468.7686238427003</v>
      </c>
      <c r="J34">
        <f t="shared" si="13"/>
        <v>492.20705503483566</v>
      </c>
      <c r="K34">
        <f t="shared" si="13"/>
        <v>514.3563725114035</v>
      </c>
      <c r="L34">
        <f t="shared" si="13"/>
        <v>534.9306274118601</v>
      </c>
      <c r="M34">
        <f t="shared" si="13"/>
        <v>553.6531993712756</v>
      </c>
      <c r="N34">
        <f t="shared" si="13"/>
        <v>570.2627953524144</v>
      </c>
    </row>
    <row r="35" spans="1:14" ht="12.75">
      <c r="A35" t="s">
        <v>18</v>
      </c>
      <c r="D35">
        <f aca="true" t="shared" si="14" ref="D35:N35">D27/D8*1000</f>
        <v>662.19</v>
      </c>
      <c r="E35">
        <f t="shared" si="14"/>
        <v>662.1899999999999</v>
      </c>
      <c r="F35">
        <f t="shared" si="14"/>
        <v>708.5433</v>
      </c>
      <c r="G35">
        <f t="shared" si="14"/>
        <v>754.5986145000002</v>
      </c>
      <c r="H35">
        <f t="shared" si="14"/>
        <v>799.8745313700005</v>
      </c>
      <c r="I35">
        <f t="shared" si="14"/>
        <v>843.8676305953508</v>
      </c>
      <c r="J35">
        <f t="shared" si="14"/>
        <v>886.0610121251187</v>
      </c>
      <c r="K35">
        <f t="shared" si="14"/>
        <v>925.9337576707495</v>
      </c>
      <c r="L35">
        <f t="shared" si="14"/>
        <v>962.9711079775802</v>
      </c>
      <c r="M35">
        <f t="shared" si="14"/>
        <v>996.6750967567962</v>
      </c>
      <c r="N35">
        <f t="shared" si="14"/>
        <v>1026.5753496595012</v>
      </c>
    </row>
    <row r="36" spans="1:14" ht="12.75">
      <c r="A36" t="s">
        <v>19</v>
      </c>
      <c r="D36">
        <f aca="true" t="shared" si="15" ref="D36:N36">D28/D9*1000</f>
        <v>637.7133333333334</v>
      </c>
      <c r="E36">
        <f t="shared" si="15"/>
        <v>637.7133333333334</v>
      </c>
      <c r="F36">
        <f t="shared" si="15"/>
        <v>682.3532666666667</v>
      </c>
      <c r="G36">
        <f t="shared" si="15"/>
        <v>726.7062290000001</v>
      </c>
      <c r="H36">
        <f t="shared" si="15"/>
        <v>770.3086027400003</v>
      </c>
      <c r="I36">
        <f t="shared" si="15"/>
        <v>812.6755758907007</v>
      </c>
      <c r="J36">
        <f t="shared" si="15"/>
        <v>853.309354685236</v>
      </c>
      <c r="K36">
        <f t="shared" si="15"/>
        <v>891.7082756460721</v>
      </c>
      <c r="L36">
        <f t="shared" si="15"/>
        <v>927.3766066719156</v>
      </c>
      <c r="M36">
        <f t="shared" si="15"/>
        <v>959.8347879054336</v>
      </c>
      <c r="N36">
        <f t="shared" si="15"/>
        <v>988.6298315425975</v>
      </c>
    </row>
    <row r="37" ht="12.75">
      <c r="A37" t="s">
        <v>29</v>
      </c>
    </row>
    <row r="38" spans="1:14" ht="12.75">
      <c r="A38" t="s">
        <v>17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</row>
    <row r="39" spans="1:14" ht="12.75">
      <c r="A39" t="s">
        <v>18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</row>
    <row r="40" spans="1:14" ht="12.75">
      <c r="A40" t="s">
        <v>19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>
        <v>30</v>
      </c>
      <c r="K40">
        <v>30</v>
      </c>
      <c r="L40">
        <v>30</v>
      </c>
      <c r="M40">
        <v>30</v>
      </c>
      <c r="N40">
        <v>30</v>
      </c>
    </row>
    <row r="41" ht="12.75">
      <c r="A41" t="s">
        <v>30</v>
      </c>
    </row>
    <row r="42" spans="1:14" ht="12.75">
      <c r="A42" t="s">
        <v>17</v>
      </c>
      <c r="D42">
        <f aca="true" t="shared" si="16" ref="D42:N42">D34*(1+D38/100)</f>
        <v>459.8083333333333</v>
      </c>
      <c r="E42">
        <f>E34*(1+E38/100)</f>
        <v>459.8083333333334</v>
      </c>
      <c r="F42">
        <f t="shared" si="16"/>
        <v>491.99491666666677</v>
      </c>
      <c r="G42">
        <f t="shared" si="16"/>
        <v>523.9745862500001</v>
      </c>
      <c r="H42">
        <f t="shared" si="16"/>
        <v>555.4130614250003</v>
      </c>
      <c r="I42">
        <f t="shared" si="16"/>
        <v>585.9607798033754</v>
      </c>
      <c r="J42">
        <f t="shared" si="16"/>
        <v>615.2588187935446</v>
      </c>
      <c r="K42">
        <f t="shared" si="16"/>
        <v>642.9454656392544</v>
      </c>
      <c r="L42">
        <f t="shared" si="16"/>
        <v>668.663284264825</v>
      </c>
      <c r="M42">
        <f t="shared" si="16"/>
        <v>692.0664992140945</v>
      </c>
      <c r="N42">
        <f t="shared" si="16"/>
        <v>712.828494190518</v>
      </c>
    </row>
    <row r="43" spans="1:14" ht="12.75">
      <c r="A43" t="s">
        <v>18</v>
      </c>
      <c r="D43">
        <f aca="true" t="shared" si="17" ref="D43:N43">D35*(1+D39/100)</f>
        <v>794.628</v>
      </c>
      <c r="E43">
        <f t="shared" si="17"/>
        <v>794.6279999999999</v>
      </c>
      <c r="F43">
        <f t="shared" si="17"/>
        <v>850.25196</v>
      </c>
      <c r="G43">
        <f t="shared" si="17"/>
        <v>905.5183374000002</v>
      </c>
      <c r="H43">
        <f t="shared" si="17"/>
        <v>959.8494376440005</v>
      </c>
      <c r="I43">
        <f t="shared" si="17"/>
        <v>1012.6411567144208</v>
      </c>
      <c r="J43">
        <f t="shared" si="17"/>
        <v>1063.2732145501425</v>
      </c>
      <c r="K43">
        <f t="shared" si="17"/>
        <v>1111.1205092048995</v>
      </c>
      <c r="L43">
        <f t="shared" si="17"/>
        <v>1155.5653295730963</v>
      </c>
      <c r="M43">
        <f t="shared" si="17"/>
        <v>1196.0101161081554</v>
      </c>
      <c r="N43">
        <f t="shared" si="17"/>
        <v>1231.8904195914013</v>
      </c>
    </row>
    <row r="44" spans="1:14" ht="12.75">
      <c r="A44" t="s">
        <v>19</v>
      </c>
      <c r="D44">
        <f aca="true" t="shared" si="18" ref="D44:N44">D36*(1+D40/100)</f>
        <v>829.0273333333334</v>
      </c>
      <c r="E44">
        <f t="shared" si="18"/>
        <v>829.0273333333334</v>
      </c>
      <c r="F44">
        <f t="shared" si="18"/>
        <v>887.0592466666668</v>
      </c>
      <c r="G44">
        <f t="shared" si="18"/>
        <v>944.7180977000002</v>
      </c>
      <c r="H44">
        <f t="shared" si="18"/>
        <v>1001.4011835620005</v>
      </c>
      <c r="I44">
        <f t="shared" si="18"/>
        <v>1056.4782486579109</v>
      </c>
      <c r="J44">
        <f t="shared" si="18"/>
        <v>1109.302161090807</v>
      </c>
      <c r="K44">
        <f t="shared" si="18"/>
        <v>1159.2207583398938</v>
      </c>
      <c r="L44">
        <f t="shared" si="18"/>
        <v>1205.5895886734904</v>
      </c>
      <c r="M44">
        <f t="shared" si="18"/>
        <v>1247.7852242770637</v>
      </c>
      <c r="N44">
        <f t="shared" si="18"/>
        <v>1285.2187810053767</v>
      </c>
    </row>
    <row r="45" ht="12.75">
      <c r="A45" t="s">
        <v>31</v>
      </c>
    </row>
    <row r="46" spans="1:14" ht="12.75">
      <c r="A46" t="s">
        <v>17</v>
      </c>
      <c r="D46">
        <f aca="true" t="shared" si="19" ref="D46:N46">D42*D7/1000</f>
        <v>91.96166666666666</v>
      </c>
      <c r="E46">
        <f t="shared" si="19"/>
        <v>137.94250000000002</v>
      </c>
      <c r="F46">
        <f t="shared" si="19"/>
        <v>147.59847500000004</v>
      </c>
      <c r="G46">
        <f t="shared" si="19"/>
        <v>157.19237587500004</v>
      </c>
      <c r="H46">
        <f t="shared" si="19"/>
        <v>166.6239184275001</v>
      </c>
      <c r="I46">
        <f t="shared" si="19"/>
        <v>175.7882339410126</v>
      </c>
      <c r="J46">
        <f t="shared" si="19"/>
        <v>184.5776456380634</v>
      </c>
      <c r="K46">
        <f t="shared" si="19"/>
        <v>192.8836396917763</v>
      </c>
      <c r="L46">
        <f t="shared" si="19"/>
        <v>200.5989852794475</v>
      </c>
      <c r="M46">
        <f t="shared" si="19"/>
        <v>207.61994976422835</v>
      </c>
      <c r="N46">
        <f t="shared" si="19"/>
        <v>213.84854825715541</v>
      </c>
    </row>
    <row r="47" spans="1:14" ht="12.75">
      <c r="A47" t="s">
        <v>18</v>
      </c>
      <c r="D47">
        <f aca="true" t="shared" si="20" ref="D47:N47">D43*D8/1000</f>
        <v>55.623960000000004</v>
      </c>
      <c r="E47">
        <f t="shared" si="20"/>
        <v>79.46279999999999</v>
      </c>
      <c r="F47">
        <f t="shared" si="20"/>
        <v>85.02519600000001</v>
      </c>
      <c r="G47">
        <f t="shared" si="20"/>
        <v>90.55183374000002</v>
      </c>
      <c r="H47">
        <f t="shared" si="20"/>
        <v>95.98494376440006</v>
      </c>
      <c r="I47">
        <f t="shared" si="20"/>
        <v>101.26411567144208</v>
      </c>
      <c r="J47">
        <f t="shared" si="20"/>
        <v>106.32732145501424</v>
      </c>
      <c r="K47">
        <f t="shared" si="20"/>
        <v>111.11205092048995</v>
      </c>
      <c r="L47">
        <f t="shared" si="20"/>
        <v>115.55653295730963</v>
      </c>
      <c r="M47">
        <f t="shared" si="20"/>
        <v>119.60101161081555</v>
      </c>
      <c r="N47">
        <f t="shared" si="20"/>
        <v>123.18904195914013</v>
      </c>
    </row>
    <row r="48" spans="1:15" ht="12.75">
      <c r="A48" t="s">
        <v>19</v>
      </c>
      <c r="D48">
        <f aca="true" t="shared" si="21" ref="D48:N48">D44*D9/1000</f>
        <v>82.90273333333333</v>
      </c>
      <c r="E48">
        <f t="shared" si="21"/>
        <v>124.35410000000002</v>
      </c>
      <c r="F48">
        <f t="shared" si="21"/>
        <v>133.05888700000003</v>
      </c>
      <c r="G48">
        <f t="shared" si="21"/>
        <v>141.70771465500002</v>
      </c>
      <c r="H48">
        <f t="shared" si="21"/>
        <v>150.21017753430007</v>
      </c>
      <c r="I48">
        <f t="shared" si="21"/>
        <v>158.47173729868663</v>
      </c>
      <c r="J48">
        <f t="shared" si="21"/>
        <v>166.39532416362107</v>
      </c>
      <c r="K48">
        <f t="shared" si="21"/>
        <v>173.88311375098408</v>
      </c>
      <c r="L48">
        <f t="shared" si="21"/>
        <v>180.83843830102356</v>
      </c>
      <c r="M48">
        <f t="shared" si="21"/>
        <v>187.16778364155954</v>
      </c>
      <c r="N48">
        <f t="shared" si="21"/>
        <v>192.78281715080652</v>
      </c>
      <c r="O48">
        <f>SUM(D46:N48)</f>
        <v>4652.107573448776</v>
      </c>
    </row>
    <row r="49" spans="1:15" ht="12.75">
      <c r="A49" t="s">
        <v>32</v>
      </c>
      <c r="D49">
        <f aca="true" t="shared" si="22" ref="D49:N49">(D46+D47+D48)-(D26+D27+D28)</f>
        <v>46.79439333333332</v>
      </c>
      <c r="E49">
        <f t="shared" si="22"/>
        <v>69.52940000000001</v>
      </c>
      <c r="F49">
        <f t="shared" si="22"/>
        <v>74.39645800000005</v>
      </c>
      <c r="G49">
        <f t="shared" si="22"/>
        <v>79.23222777000001</v>
      </c>
      <c r="H49">
        <f t="shared" si="22"/>
        <v>83.98616143620006</v>
      </c>
      <c r="I49">
        <f t="shared" si="22"/>
        <v>88.6054003151911</v>
      </c>
      <c r="J49">
        <f t="shared" si="22"/>
        <v>93.03567033095072</v>
      </c>
      <c r="K49">
        <f t="shared" si="22"/>
        <v>97.22227549584346</v>
      </c>
      <c r="L49">
        <f t="shared" si="22"/>
        <v>101.11116651567733</v>
      </c>
      <c r="M49">
        <f t="shared" si="22"/>
        <v>104.65005734372613</v>
      </c>
      <c r="N49">
        <f t="shared" si="22"/>
        <v>107.78955906403792</v>
      </c>
      <c r="O49">
        <f>SUM(D49:N49)</f>
        <v>946.3527696049599</v>
      </c>
    </row>
    <row r="50" spans="1:14" ht="12.75">
      <c r="A50" t="s">
        <v>33</v>
      </c>
      <c r="D50">
        <f aca="true" t="shared" si="23" ref="D50:N50">(D26+D27+D28)/10</f>
        <v>18.369396666666667</v>
      </c>
      <c r="E50">
        <f t="shared" si="23"/>
        <v>27.223000000000003</v>
      </c>
      <c r="F50">
        <f t="shared" si="23"/>
        <v>29.128610000000002</v>
      </c>
      <c r="G50">
        <f t="shared" si="23"/>
        <v>31.021969650000006</v>
      </c>
      <c r="H50">
        <f t="shared" si="23"/>
        <v>32.88328782900002</v>
      </c>
      <c r="I50">
        <f t="shared" si="23"/>
        <v>34.69186865959502</v>
      </c>
      <c r="J50">
        <f t="shared" si="23"/>
        <v>36.426462092574795</v>
      </c>
      <c r="K50">
        <f t="shared" si="23"/>
        <v>38.065652886740686</v>
      </c>
      <c r="L50">
        <f t="shared" si="23"/>
        <v>39.58827900221034</v>
      </c>
      <c r="M50">
        <f t="shared" si="23"/>
        <v>40.97386876728773</v>
      </c>
      <c r="N50">
        <f t="shared" si="23"/>
        <v>42.20308483030641</v>
      </c>
    </row>
    <row r="51" spans="1:14" ht="12.75">
      <c r="A51" t="s">
        <v>34</v>
      </c>
      <c r="B51">
        <f aca="true" t="shared" si="24" ref="B51:G51">B11*0.2</f>
        <v>20</v>
      </c>
      <c r="C51">
        <f t="shared" si="24"/>
        <v>40</v>
      </c>
      <c r="D51">
        <f t="shared" si="24"/>
        <v>50</v>
      </c>
      <c r="E51">
        <f t="shared" si="24"/>
        <v>41.538720000000005</v>
      </c>
      <c r="F51">
        <f t="shared" si="24"/>
        <v>32.485150399999995</v>
      </c>
      <c r="G51">
        <f t="shared" si="24"/>
        <v>22.84309877599999</v>
      </c>
      <c r="H51">
        <v>0</v>
      </c>
      <c r="I51">
        <f aca="true" t="shared" si="25" ref="I51:N51">I11*0.2</f>
        <v>0</v>
      </c>
      <c r="J51">
        <f t="shared" si="25"/>
        <v>0</v>
      </c>
      <c r="K51">
        <f t="shared" si="25"/>
        <v>0</v>
      </c>
      <c r="L51">
        <f t="shared" si="25"/>
        <v>0</v>
      </c>
      <c r="M51">
        <f t="shared" si="25"/>
        <v>0</v>
      </c>
      <c r="N51">
        <f t="shared" si="25"/>
        <v>0</v>
      </c>
    </row>
    <row r="52" spans="1:4" ht="12.75">
      <c r="A52" t="s">
        <v>35</v>
      </c>
      <c r="B52">
        <f>-(B49-B50-B51)</f>
        <v>20</v>
      </c>
      <c r="C52">
        <f>-(C49-C50-C51)+B53</f>
        <v>44</v>
      </c>
      <c r="D52">
        <f>-(D49-D50-D51)+C53</f>
        <v>29.93500333333335</v>
      </c>
    </row>
    <row r="53" spans="1:4" ht="12.75">
      <c r="A53" t="s">
        <v>36</v>
      </c>
      <c r="B53">
        <f>B52*0.2</f>
        <v>4</v>
      </c>
      <c r="C53">
        <f>C52*0.19</f>
        <v>8.36</v>
      </c>
      <c r="D53">
        <f>D52*0.18</f>
        <v>5.388300600000003</v>
      </c>
    </row>
    <row r="54" spans="1:15" ht="12.75">
      <c r="A54" t="s">
        <v>37</v>
      </c>
      <c r="B54">
        <f>-B51-B53</f>
        <v>-24</v>
      </c>
      <c r="C54">
        <f>-C51-C53</f>
        <v>-48.36</v>
      </c>
      <c r="D54">
        <f aca="true" t="shared" si="26" ref="D54:N54">D49-D50-D51-D53</f>
        <v>-26.96330393333335</v>
      </c>
      <c r="E54">
        <f t="shared" si="26"/>
        <v>0.7676800000000057</v>
      </c>
      <c r="F54">
        <f t="shared" si="26"/>
        <v>12.782697600000056</v>
      </c>
      <c r="G54">
        <f t="shared" si="26"/>
        <v>25.367159344000015</v>
      </c>
      <c r="H54">
        <f t="shared" si="26"/>
        <v>51.102873607200046</v>
      </c>
      <c r="I54">
        <f t="shared" si="26"/>
        <v>53.91353165559608</v>
      </c>
      <c r="J54">
        <f t="shared" si="26"/>
        <v>56.60920823837593</v>
      </c>
      <c r="K54">
        <f t="shared" si="26"/>
        <v>59.156622609102776</v>
      </c>
      <c r="L54">
        <f t="shared" si="26"/>
        <v>61.52288751346698</v>
      </c>
      <c r="M54">
        <f t="shared" si="26"/>
        <v>63.6761885764384</v>
      </c>
      <c r="N54">
        <f t="shared" si="26"/>
        <v>65.58647423373151</v>
      </c>
      <c r="O54">
        <f>SUM(B54:N54)</f>
        <v>351.16201944457845</v>
      </c>
    </row>
    <row r="55" spans="1:14" ht="12.75">
      <c r="A55" t="s">
        <v>38</v>
      </c>
      <c r="B55">
        <v>0</v>
      </c>
      <c r="C55">
        <v>0</v>
      </c>
      <c r="D55">
        <v>0</v>
      </c>
      <c r="E55">
        <f aca="true" t="shared" si="27" ref="E55:N55">E54*0.3</f>
        <v>0.2303040000000017</v>
      </c>
      <c r="F55">
        <f t="shared" si="27"/>
        <v>3.8348092800000164</v>
      </c>
      <c r="G55">
        <f t="shared" si="27"/>
        <v>7.610147803200004</v>
      </c>
      <c r="H55">
        <f t="shared" si="27"/>
        <v>15.330862082160014</v>
      </c>
      <c r="I55">
        <f t="shared" si="27"/>
        <v>16.174059496678822</v>
      </c>
      <c r="J55">
        <f t="shared" si="27"/>
        <v>16.98276247151278</v>
      </c>
      <c r="K55">
        <f t="shared" si="27"/>
        <v>17.746986782730833</v>
      </c>
      <c r="L55">
        <f t="shared" si="27"/>
        <v>18.456866254040094</v>
      </c>
      <c r="M55">
        <f t="shared" si="27"/>
        <v>19.10285657293152</v>
      </c>
      <c r="N55">
        <f t="shared" si="27"/>
        <v>19.675942270119453</v>
      </c>
    </row>
    <row r="56" spans="1:15" ht="12.75">
      <c r="A56" t="s">
        <v>39</v>
      </c>
      <c r="B56">
        <f aca="true" t="shared" si="28" ref="B56:N56">B54-B55</f>
        <v>-24</v>
      </c>
      <c r="C56">
        <f t="shared" si="28"/>
        <v>-48.36</v>
      </c>
      <c r="D56">
        <f t="shared" si="28"/>
        <v>-26.96330393333335</v>
      </c>
      <c r="E56">
        <f t="shared" si="28"/>
        <v>0.537376000000004</v>
      </c>
      <c r="F56">
        <f t="shared" si="28"/>
        <v>8.94788832000004</v>
      </c>
      <c r="G56">
        <f t="shared" si="28"/>
        <v>17.75701154080001</v>
      </c>
      <c r="H56">
        <f t="shared" si="28"/>
        <v>35.77201152504003</v>
      </c>
      <c r="I56">
        <f t="shared" si="28"/>
        <v>37.73947215891726</v>
      </c>
      <c r="J56">
        <f t="shared" si="28"/>
        <v>39.62644576686315</v>
      </c>
      <c r="K56">
        <f t="shared" si="28"/>
        <v>41.40963582637194</v>
      </c>
      <c r="L56">
        <f t="shared" si="28"/>
        <v>43.06602125942689</v>
      </c>
      <c r="M56">
        <f t="shared" si="28"/>
        <v>44.57333200350688</v>
      </c>
      <c r="N56">
        <f t="shared" si="28"/>
        <v>45.91053196361206</v>
      </c>
      <c r="O56">
        <f>SUM(B56:N56)</f>
        <v>216.0164224312049</v>
      </c>
    </row>
    <row r="57" spans="1:14" ht="12.75">
      <c r="A57" t="s">
        <v>40</v>
      </c>
      <c r="C57">
        <f>0.208*3</f>
        <v>0.624</v>
      </c>
      <c r="D57">
        <f>0.208*12+1.875*5</f>
        <v>11.871</v>
      </c>
      <c r="E57">
        <f aca="true" t="shared" si="29" ref="E57:M57">0.208*12+1.875*12</f>
        <v>24.996</v>
      </c>
      <c r="F57">
        <f t="shared" si="29"/>
        <v>24.996</v>
      </c>
      <c r="G57">
        <f t="shared" si="29"/>
        <v>24.996</v>
      </c>
      <c r="H57">
        <f t="shared" si="29"/>
        <v>24.996</v>
      </c>
      <c r="I57">
        <f t="shared" si="29"/>
        <v>24.996</v>
      </c>
      <c r="J57">
        <f t="shared" si="29"/>
        <v>24.996</v>
      </c>
      <c r="K57">
        <f t="shared" si="29"/>
        <v>24.996</v>
      </c>
      <c r="L57">
        <f t="shared" si="29"/>
        <v>24.996</v>
      </c>
      <c r="M57">
        <f t="shared" si="29"/>
        <v>24.996</v>
      </c>
      <c r="N57">
        <f>1.875*7+0.208*12</f>
        <v>15.621</v>
      </c>
    </row>
    <row r="59" spans="1:14" ht="12.75">
      <c r="A59" t="s">
        <v>41</v>
      </c>
      <c r="B59">
        <f>-B10+B56</f>
        <v>-124</v>
      </c>
      <c r="C59">
        <f aca="true" t="shared" si="30" ref="C59:N59">-C10+C56+C57</f>
        <v>-147.73600000000002</v>
      </c>
      <c r="D59">
        <f t="shared" si="30"/>
        <v>-65.09230393333335</v>
      </c>
      <c r="E59">
        <f t="shared" si="30"/>
        <v>25.533376000000004</v>
      </c>
      <c r="F59">
        <f t="shared" si="30"/>
        <v>33.94388832000004</v>
      </c>
      <c r="G59">
        <f t="shared" si="30"/>
        <v>42.75301154080001</v>
      </c>
      <c r="H59">
        <f t="shared" si="30"/>
        <v>60.76801152504002</v>
      </c>
      <c r="I59">
        <f t="shared" si="30"/>
        <v>62.73547215891726</v>
      </c>
      <c r="J59">
        <f t="shared" si="30"/>
        <v>64.62244576686315</v>
      </c>
      <c r="K59">
        <f t="shared" si="30"/>
        <v>66.40563582637193</v>
      </c>
      <c r="L59">
        <f t="shared" si="30"/>
        <v>68.06202125942688</v>
      </c>
      <c r="M59">
        <f t="shared" si="30"/>
        <v>69.56933200350687</v>
      </c>
      <c r="N59">
        <f t="shared" si="30"/>
        <v>61.53153196361206</v>
      </c>
    </row>
    <row r="60" spans="1:14" ht="12.75">
      <c r="A60" t="s">
        <v>42</v>
      </c>
      <c r="B60">
        <f>B59</f>
        <v>-124</v>
      </c>
      <c r="C60">
        <f aca="true" t="shared" si="31" ref="C60:N60">C59+B60</f>
        <v>-271.736</v>
      </c>
      <c r="D60">
        <f t="shared" si="31"/>
        <v>-336.82830393333336</v>
      </c>
      <c r="E60">
        <f t="shared" si="31"/>
        <v>-311.2949279333334</v>
      </c>
      <c r="F60">
        <f t="shared" si="31"/>
        <v>-277.35103961333334</v>
      </c>
      <c r="G60">
        <f t="shared" si="31"/>
        <v>-234.59802807253334</v>
      </c>
      <c r="H60">
        <f t="shared" si="31"/>
        <v>-173.8300165474933</v>
      </c>
      <c r="I60">
        <f t="shared" si="31"/>
        <v>-111.09454438857604</v>
      </c>
      <c r="J60">
        <f t="shared" si="31"/>
        <v>-46.47209862171289</v>
      </c>
      <c r="K60">
        <f t="shared" si="31"/>
        <v>19.933537204659046</v>
      </c>
      <c r="L60">
        <f t="shared" si="31"/>
        <v>87.99555846408593</v>
      </c>
      <c r="M60">
        <f t="shared" si="31"/>
        <v>157.56489046759282</v>
      </c>
      <c r="N60">
        <f t="shared" si="31"/>
        <v>219.09642243120487</v>
      </c>
    </row>
    <row r="62" spans="1:14" ht="12.75">
      <c r="A62" t="s">
        <v>43</v>
      </c>
      <c r="B62">
        <f>1/POWER(1.2,0.5)</f>
        <v>0.9128709291752769</v>
      </c>
      <c r="C62">
        <f>1/POWER(1.2,1.5)</f>
        <v>0.7607257743127307</v>
      </c>
      <c r="D62">
        <f>1/POWER(1.2,2.5)</f>
        <v>0.633938145260609</v>
      </c>
      <c r="E62">
        <f>1/POWER(1.2,3.5)</f>
        <v>0.5282817877171742</v>
      </c>
      <c r="F62">
        <f>1/POWER(1.2,4.5)</f>
        <v>0.44023482309764517</v>
      </c>
      <c r="G62">
        <f>1/POWER(1.2,5.5)</f>
        <v>0.36686235258137107</v>
      </c>
      <c r="H62">
        <f>1/POWER(1.2,6.5)</f>
        <v>0.3057186271511425</v>
      </c>
      <c r="I62">
        <f>1/POWER(1.2,7.5)</f>
        <v>0.25476552262595203</v>
      </c>
      <c r="J62">
        <f>1/POWER(1.2,8.5)</f>
        <v>0.21230460218829345</v>
      </c>
      <c r="K62">
        <f>1/POWER(1.2,9.5)</f>
        <v>0.17692050182357785</v>
      </c>
      <c r="L62">
        <f>1/POWER(1.2,10.5)</f>
        <v>0.14743375151964822</v>
      </c>
      <c r="M62">
        <f>1/POWER(1.2,11.5)</f>
        <v>0.12286145959970685</v>
      </c>
      <c r="N62">
        <f>1/POWER(1.2,12.5)</f>
        <v>0.1023845496664224</v>
      </c>
    </row>
    <row r="63" spans="1:14" ht="12.75">
      <c r="A63" t="s">
        <v>44</v>
      </c>
      <c r="B63">
        <f aca="true" t="shared" si="32" ref="B63:N63">B59*B62</f>
        <v>-113.19599521773434</v>
      </c>
      <c r="C63">
        <f t="shared" si="32"/>
        <v>-112.3865829938656</v>
      </c>
      <c r="D63">
        <f t="shared" si="32"/>
        <v>-41.26449442623719</v>
      </c>
      <c r="E63">
        <f t="shared" si="32"/>
        <v>13.488817519734791</v>
      </c>
      <c r="F63">
        <f t="shared" si="32"/>
        <v>14.943281669801442</v>
      </c>
      <c r="G63">
        <f t="shared" si="32"/>
        <v>15.6844703937964</v>
      </c>
      <c r="H63">
        <f t="shared" si="32"/>
        <v>18.57791305814004</v>
      </c>
      <c r="I63">
        <f t="shared" si="32"/>
        <v>15.982835351752419</v>
      </c>
      <c r="J63">
        <f t="shared" si="32"/>
        <v>13.719642640968448</v>
      </c>
      <c r="K63">
        <f t="shared" si="32"/>
        <v>11.748518414315482</v>
      </c>
      <c r="L63">
        <f t="shared" si="32"/>
        <v>10.034639130287358</v>
      </c>
      <c r="M63">
        <f t="shared" si="32"/>
        <v>8.547389673327451</v>
      </c>
      <c r="N63">
        <f t="shared" si="32"/>
        <v>6.299878190379496</v>
      </c>
    </row>
    <row r="64" spans="1:14" ht="12.75">
      <c r="A64" t="s">
        <v>45</v>
      </c>
      <c r="B64">
        <f aca="true" t="shared" si="33" ref="B64:N64">B60*B62</f>
        <v>-113.19599521773434</v>
      </c>
      <c r="C64">
        <f t="shared" si="33"/>
        <v>-206.71657900864417</v>
      </c>
      <c r="D64">
        <f t="shared" si="33"/>
        <v>-213.52831026677404</v>
      </c>
      <c r="E64">
        <f t="shared" si="33"/>
        <v>-164.45144103591025</v>
      </c>
      <c r="F64">
        <f t="shared" si="33"/>
        <v>-122.09958586012378</v>
      </c>
      <c r="G64">
        <f t="shared" si="33"/>
        <v>-86.06518448964012</v>
      </c>
      <c r="H64">
        <f t="shared" si="33"/>
        <v>-53.143074016560035</v>
      </c>
      <c r="I64">
        <f t="shared" si="33"/>
        <v>-28.303059662047602</v>
      </c>
      <c r="J64">
        <f t="shared" si="33"/>
        <v>-9.866240410737895</v>
      </c>
      <c r="K64">
        <f t="shared" si="33"/>
        <v>3.5266514053672378</v>
      </c>
      <c r="L64">
        <f t="shared" si="33"/>
        <v>12.973515301426723</v>
      </c>
      <c r="M64">
        <f t="shared" si="33"/>
        <v>19.35865242451639</v>
      </c>
      <c r="N64">
        <f t="shared" si="33"/>
        <v>22.432088544143156</v>
      </c>
    </row>
    <row r="65" spans="1:4" ht="12.75">
      <c r="A65" t="s">
        <v>46</v>
      </c>
      <c r="B65">
        <f>B10*B62</f>
        <v>91.28709291752769</v>
      </c>
      <c r="C65">
        <f>C10*C62</f>
        <v>76.07257743127307</v>
      </c>
      <c r="D65">
        <f>D10*D62</f>
        <v>31.69690726303045</v>
      </c>
    </row>
    <row r="66" spans="1:4" ht="12.75">
      <c r="A66" t="s">
        <v>47</v>
      </c>
      <c r="B66">
        <f>B65</f>
        <v>91.28709291752769</v>
      </c>
      <c r="C66">
        <f>B66+C65</f>
        <v>167.35967034880076</v>
      </c>
      <c r="D66">
        <f>C66+D65</f>
        <v>199.05657761183122</v>
      </c>
    </row>
    <row r="67" spans="1:14" ht="12.75">
      <c r="A67" t="s">
        <v>48</v>
      </c>
      <c r="N67">
        <f>N64</f>
        <v>22.432088544143156</v>
      </c>
    </row>
    <row r="68" spans="1:14" ht="12.75">
      <c r="A68" t="s">
        <v>49</v>
      </c>
      <c r="N68">
        <f>N67/D66</f>
        <v>0.11269202361092875</v>
      </c>
    </row>
    <row r="69" spans="1:14" ht="12.75">
      <c r="A69" t="s">
        <v>50</v>
      </c>
      <c r="N69">
        <v>6.129</v>
      </c>
    </row>
    <row r="71" spans="1:14" ht="12.75">
      <c r="A71" t="s">
        <v>43</v>
      </c>
      <c r="B71">
        <f>1/POWER(1.15,0.5)</f>
        <v>0.9325048082403138</v>
      </c>
      <c r="C71">
        <f>1/POWER(1.15,1.5)</f>
        <v>0.8108737462959251</v>
      </c>
      <c r="D71">
        <f>1/POWER(1.15,2.5)</f>
        <v>0.7051076054747175</v>
      </c>
      <c r="E71">
        <f>1/POWER(1.15,3.5)</f>
        <v>0.6131370482388848</v>
      </c>
      <c r="F71">
        <f>1/POWER(1.15,4.5)</f>
        <v>0.5331626506425087</v>
      </c>
      <c r="G71">
        <f>1/POWER(1.15,5.5)</f>
        <v>0.4636196962108771</v>
      </c>
      <c r="H71">
        <f>1/POWER(1.15,6.5)</f>
        <v>0.40314756192250184</v>
      </c>
      <c r="I71">
        <f>1/POWER(1.15,7.5)</f>
        <v>0.35056309732391466</v>
      </c>
      <c r="J71">
        <f>1/POWER(1.15,8.5)</f>
        <v>0.30483747593383886</v>
      </c>
      <c r="K71">
        <f>1/POWER(1.15,9.5)</f>
        <v>0.26507606602942513</v>
      </c>
      <c r="L71">
        <f>1/POWER(1.15,10.5)</f>
        <v>0.23050092698210878</v>
      </c>
      <c r="M71">
        <f>1/POWER(1.15,11.5)</f>
        <v>0.20043558868009465</v>
      </c>
      <c r="N71">
        <f>1/POWER(1.15,12.5)</f>
        <v>0.17429181624356058</v>
      </c>
    </row>
    <row r="72" spans="1:14" ht="12.75">
      <c r="A72" t="s">
        <v>44</v>
      </c>
      <c r="B72">
        <f aca="true" t="shared" si="34" ref="B72:N72">B59*B71</f>
        <v>-115.63059622179891</v>
      </c>
      <c r="C72">
        <f t="shared" si="34"/>
        <v>-119.7952437827748</v>
      </c>
      <c r="D72">
        <f t="shared" si="34"/>
        <v>-45.89707856126522</v>
      </c>
      <c r="E72">
        <f t="shared" si="34"/>
        <v>15.655458792213587</v>
      </c>
      <c r="F72">
        <f t="shared" si="34"/>
        <v>18.097613469804514</v>
      </c>
      <c r="G72">
        <f t="shared" si="34"/>
        <v>19.821138222645825</v>
      </c>
      <c r="H72">
        <f t="shared" si="34"/>
        <v>24.49847568919838</v>
      </c>
      <c r="I72">
        <f t="shared" si="34"/>
        <v>21.99274143210825</v>
      </c>
      <c r="J72">
        <f t="shared" si="34"/>
        <v>19.699343256241953</v>
      </c>
      <c r="K72">
        <f t="shared" si="34"/>
        <v>17.602544707037325</v>
      </c>
      <c r="L72">
        <f t="shared" si="34"/>
        <v>15.688358992573892</v>
      </c>
      <c r="M72">
        <f t="shared" si="34"/>
        <v>13.944170014203848</v>
      </c>
      <c r="N72">
        <f t="shared" si="34"/>
        <v>10.724442462186648</v>
      </c>
    </row>
    <row r="73" spans="1:14" ht="12.75">
      <c r="A73" t="s">
        <v>45</v>
      </c>
      <c r="B73">
        <f aca="true" t="shared" si="35" ref="B73:N73">B60*B71</f>
        <v>-115.63059622179891</v>
      </c>
      <c r="C73">
        <f t="shared" si="35"/>
        <v>-220.3435883234695</v>
      </c>
      <c r="D73">
        <f t="shared" si="35"/>
        <v>-237.50019884254306</v>
      </c>
      <c r="E73">
        <f t="shared" si="35"/>
        <v>-190.86645324478042</v>
      </c>
      <c r="F73">
        <f t="shared" si="35"/>
        <v>-147.8732154387002</v>
      </c>
      <c r="G73">
        <f t="shared" si="35"/>
        <v>-108.76426650665873</v>
      </c>
      <c r="H73">
        <f t="shared" si="35"/>
        <v>-70.07914736007008</v>
      </c>
      <c r="I73">
        <f t="shared" si="35"/>
        <v>-38.94564757664834</v>
      </c>
      <c r="J73">
        <f t="shared" si="35"/>
        <v>-14.16643724519139</v>
      </c>
      <c r="K73">
        <f t="shared" si="35"/>
        <v>5.283903624262204</v>
      </c>
      <c r="L73">
        <f t="shared" si="35"/>
        <v>20.283057796280154</v>
      </c>
      <c r="M73">
        <f t="shared" si="35"/>
        <v>31.5816115761866</v>
      </c>
      <c r="N73">
        <f t="shared" si="35"/>
        <v>38.18671339800108</v>
      </c>
    </row>
    <row r="74" spans="1:4" ht="12.75">
      <c r="A74" t="s">
        <v>46</v>
      </c>
      <c r="B74">
        <f>B10*B71</f>
        <v>93.25048082403138</v>
      </c>
      <c r="C74">
        <f>C10*C71</f>
        <v>81.08737462959252</v>
      </c>
      <c r="D74">
        <f>D10*D71</f>
        <v>35.255380273735874</v>
      </c>
    </row>
    <row r="75" spans="1:4" ht="12.75">
      <c r="A75" t="s">
        <v>47</v>
      </c>
      <c r="B75">
        <f>B74</f>
        <v>93.25048082403138</v>
      </c>
      <c r="C75">
        <f>B75+C74</f>
        <v>174.3378554536239</v>
      </c>
      <c r="D75">
        <f>C75+D74</f>
        <v>209.59323572735977</v>
      </c>
    </row>
    <row r="76" spans="1:14" ht="12.75">
      <c r="A76" t="s">
        <v>48</v>
      </c>
      <c r="N76">
        <f>N73</f>
        <v>38.18671339800108</v>
      </c>
    </row>
    <row r="77" spans="1:14" ht="12.75">
      <c r="A77" t="s">
        <v>49</v>
      </c>
      <c r="N77">
        <f>N76/D75</f>
        <v>0.18219439795125167</v>
      </c>
    </row>
    <row r="78" ht="12.75">
      <c r="A78" t="s">
        <v>50</v>
      </c>
    </row>
    <row r="80" spans="1:14" ht="12.75">
      <c r="A80" t="s">
        <v>43</v>
      </c>
      <c r="B80">
        <f>1/POWER(1.25,0.5)</f>
        <v>0.8944271909999159</v>
      </c>
      <c r="C80">
        <f>1/POWER(1.25,1.5)</f>
        <v>0.7155417527999327</v>
      </c>
      <c r="D80">
        <f>1/POWER(1.25,2.5)</f>
        <v>0.5724334022399462</v>
      </c>
      <c r="E80">
        <f>1/POWER(1.25,3.5)</f>
        <v>0.4579467217919569</v>
      </c>
      <c r="F80">
        <f>1/POWER(1.25,4.5)</f>
        <v>0.36635737743356556</v>
      </c>
      <c r="G80">
        <f>1/POWER(1.25,5.5)</f>
        <v>0.29308590194685247</v>
      </c>
      <c r="H80">
        <f>1/POWER(1.25,6.5)</f>
        <v>0.2344687215574819</v>
      </c>
      <c r="I80">
        <f>1/POWER(1.25,7.5)</f>
        <v>0.18757497724598554</v>
      </c>
      <c r="J80">
        <f>1/POWER(1.25,8.5)</f>
        <v>0.15005998179678842</v>
      </c>
      <c r="K80">
        <f>1/POWER(1.25,9.5)</f>
        <v>0.12004798543743075</v>
      </c>
      <c r="L80">
        <f>1/POWER(1.25,10.5)</f>
        <v>0.09603838834994462</v>
      </c>
      <c r="M80">
        <f>1/POWER(1.25,11.5)</f>
        <v>0.0768307106799557</v>
      </c>
      <c r="N80">
        <f>1/POWER(1.25,12.5)</f>
        <v>0.06146456854396452</v>
      </c>
    </row>
    <row r="81" spans="1:14" ht="12.75">
      <c r="A81" t="s">
        <v>44</v>
      </c>
      <c r="B81">
        <f aca="true" t="shared" si="36" ref="B81:N81">B59*B80</f>
        <v>-110.90897168398956</v>
      </c>
      <c r="C81">
        <f t="shared" si="36"/>
        <v>-105.71127639165087</v>
      </c>
      <c r="D81">
        <f t="shared" si="36"/>
        <v>-37.26100900019465</v>
      </c>
      <c r="E81">
        <f t="shared" si="36"/>
        <v>11.69292583548143</v>
      </c>
      <c r="F81">
        <f t="shared" si="36"/>
        <v>12.435593904813052</v>
      </c>
      <c r="G81">
        <f t="shared" si="36"/>
        <v>12.530304948379564</v>
      </c>
      <c r="H81">
        <f t="shared" si="36"/>
        <v>14.24819797386646</v>
      </c>
      <c r="I81">
        <f t="shared" si="36"/>
        <v>11.767604762725064</v>
      </c>
      <c r="J81">
        <f t="shared" si="36"/>
        <v>9.697243035439431</v>
      </c>
      <c r="K81">
        <f t="shared" si="36"/>
        <v>7.971862802647628</v>
      </c>
      <c r="L81">
        <f t="shared" si="36"/>
        <v>6.536566829595026</v>
      </c>
      <c r="M81">
        <f t="shared" si="36"/>
        <v>5.345061219359219</v>
      </c>
      <c r="N81">
        <f t="shared" si="36"/>
        <v>3.7820090639925774</v>
      </c>
    </row>
    <row r="82" spans="1:14" ht="12.75">
      <c r="A82" t="s">
        <v>45</v>
      </c>
      <c r="B82">
        <f aca="true" t="shared" si="37" ref="B82:N82">B60*B80</f>
        <v>-110.90897168398956</v>
      </c>
      <c r="C82">
        <f t="shared" si="37"/>
        <v>-194.4384537388425</v>
      </c>
      <c r="D82">
        <f t="shared" si="37"/>
        <v>-192.81177199126867</v>
      </c>
      <c r="E82">
        <f t="shared" si="37"/>
        <v>-142.55649175753348</v>
      </c>
      <c r="F82">
        <f t="shared" si="37"/>
        <v>-101.60959950121375</v>
      </c>
      <c r="G82">
        <f t="shared" si="37"/>
        <v>-68.75737465259145</v>
      </c>
      <c r="H82">
        <f t="shared" si="37"/>
        <v>-40.75770174820668</v>
      </c>
      <c r="I82">
        <f t="shared" si="37"/>
        <v>-20.83855663584028</v>
      </c>
      <c r="J82">
        <f t="shared" si="37"/>
        <v>-6.9736022732327925</v>
      </c>
      <c r="K82">
        <f t="shared" si="37"/>
        <v>2.3929809840613934</v>
      </c>
      <c r="L82">
        <f t="shared" si="37"/>
        <v>8.45095161684414</v>
      </c>
      <c r="M82">
        <f t="shared" si="37"/>
        <v>12.105822512834534</v>
      </c>
      <c r="N82">
        <f t="shared" si="37"/>
        <v>13.466667074260197</v>
      </c>
    </row>
    <row r="83" spans="1:4" ht="12.75">
      <c r="A83" t="s">
        <v>46</v>
      </c>
      <c r="B83">
        <f>B10*B80</f>
        <v>89.44271909999159</v>
      </c>
      <c r="C83">
        <f>C10*C80</f>
        <v>71.55417527999327</v>
      </c>
      <c r="D83">
        <f>D10*D80</f>
        <v>28.62167011199731</v>
      </c>
    </row>
    <row r="84" spans="1:4" ht="12.75">
      <c r="A84" t="s">
        <v>47</v>
      </c>
      <c r="B84">
        <f>B83</f>
        <v>89.44271909999159</v>
      </c>
      <c r="C84">
        <f>B84+C83</f>
        <v>160.99689437998487</v>
      </c>
      <c r="D84">
        <f>C84+D83</f>
        <v>189.61856449198217</v>
      </c>
    </row>
    <row r="85" spans="1:14" ht="12.75">
      <c r="A85" t="s">
        <v>48</v>
      </c>
      <c r="N85">
        <f>N82</f>
        <v>13.466667074260197</v>
      </c>
    </row>
    <row r="86" spans="1:14" ht="12.75">
      <c r="A86" t="s">
        <v>49</v>
      </c>
      <c r="N86">
        <f>N85/D84</f>
        <v>0.07101977124623587</v>
      </c>
    </row>
    <row r="87" ht="12.75">
      <c r="A87" t="s">
        <v>50</v>
      </c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94"/>
  <sheetViews>
    <sheetView zoomScalePageLayoutView="0" workbookViewId="0" topLeftCell="A73">
      <selection activeCell="B94" sqref="B94"/>
    </sheetView>
  </sheetViews>
  <sheetFormatPr defaultColWidth="9.00390625" defaultRowHeight="12.75"/>
  <sheetData>
    <row r="3" ht="12.75">
      <c r="A3" t="s">
        <v>1</v>
      </c>
    </row>
    <row r="5" spans="1:14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</row>
    <row r="6" ht="12.75">
      <c r="A6" t="s">
        <v>16</v>
      </c>
    </row>
    <row r="7" spans="1:14" ht="12.75">
      <c r="A7" t="s">
        <v>17</v>
      </c>
      <c r="B7">
        <v>0</v>
      </c>
      <c r="C7">
        <v>0</v>
      </c>
      <c r="D7">
        <v>200</v>
      </c>
      <c r="E7">
        <v>300</v>
      </c>
      <c r="F7">
        <f aca="true" t="shared" si="0" ref="F7:N7">E7</f>
        <v>300</v>
      </c>
      <c r="G7">
        <f t="shared" si="0"/>
        <v>300</v>
      </c>
      <c r="H7">
        <f t="shared" si="0"/>
        <v>300</v>
      </c>
      <c r="I7">
        <f t="shared" si="0"/>
        <v>300</v>
      </c>
      <c r="J7">
        <f t="shared" si="0"/>
        <v>300</v>
      </c>
      <c r="K7">
        <f t="shared" si="0"/>
        <v>300</v>
      </c>
      <c r="L7">
        <f t="shared" si="0"/>
        <v>300</v>
      </c>
      <c r="M7">
        <f t="shared" si="0"/>
        <v>300</v>
      </c>
      <c r="N7">
        <f t="shared" si="0"/>
        <v>300</v>
      </c>
    </row>
    <row r="8" spans="1:14" ht="12.75">
      <c r="A8" t="s">
        <v>18</v>
      </c>
      <c r="B8">
        <v>0</v>
      </c>
      <c r="C8">
        <v>0</v>
      </c>
      <c r="D8">
        <v>70</v>
      </c>
      <c r="E8">
        <v>100</v>
      </c>
      <c r="F8">
        <f aca="true" t="shared" si="1" ref="F8:N8">E8</f>
        <v>100</v>
      </c>
      <c r="G8">
        <f t="shared" si="1"/>
        <v>100</v>
      </c>
      <c r="H8">
        <f t="shared" si="1"/>
        <v>100</v>
      </c>
      <c r="I8">
        <f t="shared" si="1"/>
        <v>100</v>
      </c>
      <c r="J8">
        <f t="shared" si="1"/>
        <v>100</v>
      </c>
      <c r="K8">
        <f t="shared" si="1"/>
        <v>100</v>
      </c>
      <c r="L8">
        <f t="shared" si="1"/>
        <v>100</v>
      </c>
      <c r="M8">
        <f t="shared" si="1"/>
        <v>100</v>
      </c>
      <c r="N8">
        <f t="shared" si="1"/>
        <v>100</v>
      </c>
    </row>
    <row r="9" spans="1:14" ht="12.75">
      <c r="A9" t="s">
        <v>19</v>
      </c>
      <c r="B9">
        <v>0</v>
      </c>
      <c r="C9">
        <v>0</v>
      </c>
      <c r="D9">
        <v>100</v>
      </c>
      <c r="E9">
        <v>150</v>
      </c>
      <c r="F9">
        <f aca="true" t="shared" si="2" ref="F9:N9">E9</f>
        <v>150</v>
      </c>
      <c r="G9">
        <f t="shared" si="2"/>
        <v>150</v>
      </c>
      <c r="H9">
        <f t="shared" si="2"/>
        <v>150</v>
      </c>
      <c r="I9">
        <f t="shared" si="2"/>
        <v>150</v>
      </c>
      <c r="J9">
        <f t="shared" si="2"/>
        <v>150</v>
      </c>
      <c r="K9">
        <f t="shared" si="2"/>
        <v>150</v>
      </c>
      <c r="L9">
        <f t="shared" si="2"/>
        <v>150</v>
      </c>
      <c r="M9">
        <f t="shared" si="2"/>
        <v>150</v>
      </c>
      <c r="N9">
        <f t="shared" si="2"/>
        <v>150</v>
      </c>
    </row>
    <row r="10" spans="1:4" ht="12.75">
      <c r="A10" t="s">
        <v>20</v>
      </c>
      <c r="B10">
        <v>90</v>
      </c>
      <c r="C10">
        <v>90</v>
      </c>
      <c r="D10">
        <v>45</v>
      </c>
    </row>
    <row r="11" spans="1:8" ht="12.75">
      <c r="A11" t="s">
        <v>21</v>
      </c>
      <c r="B11">
        <f>B10</f>
        <v>90</v>
      </c>
      <c r="C11">
        <f>B11+C10</f>
        <v>180</v>
      </c>
      <c r="D11">
        <f>C11+D10</f>
        <v>225</v>
      </c>
      <c r="E11">
        <f>D11-E49+E50</f>
        <v>183.926</v>
      </c>
      <c r="F11">
        <f>E11-F49+F50</f>
        <v>139.9768200000001</v>
      </c>
      <c r="G11">
        <f>F11-G49+G50</f>
        <v>93.17094330000008</v>
      </c>
      <c r="H11">
        <v>0</v>
      </c>
    </row>
    <row r="12" spans="1:14" ht="12.75">
      <c r="A12" t="s">
        <v>22</v>
      </c>
      <c r="F12">
        <v>1.07</v>
      </c>
      <c r="G12">
        <f aca="true" t="shared" si="3" ref="G12:N12">F12-0.005</f>
        <v>1.0650000000000002</v>
      </c>
      <c r="H12">
        <f t="shared" si="3"/>
        <v>1.0600000000000003</v>
      </c>
      <c r="I12">
        <f t="shared" si="3"/>
        <v>1.0550000000000004</v>
      </c>
      <c r="J12">
        <f t="shared" si="3"/>
        <v>1.0500000000000005</v>
      </c>
      <c r="K12">
        <f t="shared" si="3"/>
        <v>1.0450000000000006</v>
      </c>
      <c r="L12">
        <f t="shared" si="3"/>
        <v>1.0400000000000007</v>
      </c>
      <c r="M12">
        <f t="shared" si="3"/>
        <v>1.0350000000000008</v>
      </c>
      <c r="N12">
        <f t="shared" si="3"/>
        <v>1.030000000000001</v>
      </c>
    </row>
    <row r="13" ht="12.75">
      <c r="A13" t="s">
        <v>23</v>
      </c>
    </row>
    <row r="14" spans="1:14" ht="12.75">
      <c r="A14" t="s">
        <v>17</v>
      </c>
      <c r="D14">
        <f>E14*D7/E7</f>
        <v>21.426666666666666</v>
      </c>
      <c r="E14">
        <v>32.14</v>
      </c>
      <c r="F14">
        <f>E14*$F$12</f>
        <v>34.3898</v>
      </c>
      <c r="G14">
        <f>F14*$G$12</f>
        <v>36.62513700000001</v>
      </c>
      <c r="H14">
        <f>G14*$H$12</f>
        <v>38.82264522000002</v>
      </c>
      <c r="I14">
        <f>H14*$I$12</f>
        <v>40.957890707100034</v>
      </c>
      <c r="J14">
        <f>I14*$J$12</f>
        <v>43.005785242455055</v>
      </c>
      <c r="K14">
        <f>J14*$K$12</f>
        <v>44.94104557836556</v>
      </c>
      <c r="L14">
        <f>K14*$L$12</f>
        <v>46.738687401500215</v>
      </c>
      <c r="M14">
        <f>L14*$M$12</f>
        <v>48.37454146055276</v>
      </c>
      <c r="N14">
        <f>M14*$N$12</f>
        <v>49.82577770436939</v>
      </c>
    </row>
    <row r="15" spans="1:14" ht="12.75">
      <c r="A15" t="s">
        <v>18</v>
      </c>
      <c r="D15">
        <f>E15*D8/E8</f>
        <v>13.503</v>
      </c>
      <c r="E15">
        <v>19.29</v>
      </c>
      <c r="F15">
        <f>E15*$F$12</f>
        <v>20.6403</v>
      </c>
      <c r="G15">
        <f>F15*$G$12</f>
        <v>21.981919500000004</v>
      </c>
      <c r="H15">
        <f>G15*$H$12</f>
        <v>23.30083467000001</v>
      </c>
      <c r="I15">
        <f>H15*$I$12</f>
        <v>24.58238057685002</v>
      </c>
      <c r="J15">
        <f>I15*$J$12</f>
        <v>25.811499605692532</v>
      </c>
      <c r="K15">
        <f>J15*$K$12</f>
        <v>26.973017087948712</v>
      </c>
      <c r="L15">
        <f>K15*$L$12</f>
        <v>28.05193777146668</v>
      </c>
      <c r="M15">
        <f>L15*$M$12</f>
        <v>29.033755593468037</v>
      </c>
      <c r="N15">
        <f>M15*$N$12</f>
        <v>29.904768261272103</v>
      </c>
    </row>
    <row r="16" spans="1:14" ht="12.75">
      <c r="A16" t="s">
        <v>19</v>
      </c>
      <c r="D16">
        <f>E16*D9/E9</f>
        <v>18.58</v>
      </c>
      <c r="E16">
        <v>27.87</v>
      </c>
      <c r="F16">
        <f>E16*$F$12</f>
        <v>29.8209</v>
      </c>
      <c r="G16">
        <f>F16*$G$12</f>
        <v>31.75925850000001</v>
      </c>
      <c r="H16">
        <f>G16*$H$12</f>
        <v>33.664814010000015</v>
      </c>
      <c r="I16">
        <f>H16*$I$12</f>
        <v>35.51637878055003</v>
      </c>
      <c r="J16">
        <f>I16*$J$12</f>
        <v>37.292197719577544</v>
      </c>
      <c r="K16">
        <f>J16*$K$12</f>
        <v>38.97034661695856</v>
      </c>
      <c r="L16">
        <f>K16*$L$12</f>
        <v>40.52916048163693</v>
      </c>
      <c r="M16">
        <f>L16*$M$12</f>
        <v>41.94768109849426</v>
      </c>
      <c r="N16">
        <f>M16*$N$12</f>
        <v>43.206111531449125</v>
      </c>
    </row>
    <row r="17" ht="12.75">
      <c r="A17" t="s">
        <v>24</v>
      </c>
    </row>
    <row r="18" spans="1:14" ht="12.75">
      <c r="A18" t="s">
        <v>17</v>
      </c>
      <c r="D18">
        <f>E18*D7/E7</f>
        <v>50</v>
      </c>
      <c r="E18">
        <f>75</f>
        <v>75</v>
      </c>
      <c r="F18">
        <f>E18*$F$12</f>
        <v>80.25</v>
      </c>
      <c r="G18">
        <f>F18*$G$12</f>
        <v>85.46625000000002</v>
      </c>
      <c r="H18">
        <f>G18*$H$12</f>
        <v>90.59422500000004</v>
      </c>
      <c r="I18">
        <f>H18*$I$12</f>
        <v>95.57690737500008</v>
      </c>
      <c r="J18">
        <f>I18*$J$12</f>
        <v>100.35575274375013</v>
      </c>
      <c r="K18">
        <f>J18*$K$12</f>
        <v>104.87176161721895</v>
      </c>
      <c r="L18">
        <f>K18*$L$12</f>
        <v>109.06663208190778</v>
      </c>
      <c r="M18">
        <f>L18*$M$12</f>
        <v>112.88396420477464</v>
      </c>
      <c r="N18">
        <f>M18*$N$12</f>
        <v>116.27048313091798</v>
      </c>
    </row>
    <row r="19" spans="1:14" ht="12.75">
      <c r="A19" t="s">
        <v>18</v>
      </c>
      <c r="D19">
        <f>E19*D8/E8</f>
        <v>31.5</v>
      </c>
      <c r="E19">
        <f>45</f>
        <v>45</v>
      </c>
      <c r="F19">
        <f>E19*$F$12</f>
        <v>48.150000000000006</v>
      </c>
      <c r="G19">
        <f>F19*$G$12</f>
        <v>51.279750000000014</v>
      </c>
      <c r="H19">
        <f>G19*$H$12</f>
        <v>54.35653500000003</v>
      </c>
      <c r="I19">
        <f>H19*$I$12</f>
        <v>57.34614442500005</v>
      </c>
      <c r="J19">
        <f>I19*$J$12</f>
        <v>60.21345164625008</v>
      </c>
      <c r="K19">
        <f>J19*$K$12</f>
        <v>62.923056970331366</v>
      </c>
      <c r="L19">
        <f>K19*$L$12</f>
        <v>65.43997924914467</v>
      </c>
      <c r="M19">
        <f>L19*$M$12</f>
        <v>67.73037852286478</v>
      </c>
      <c r="N19">
        <f>M19*$N$12</f>
        <v>69.76228987855079</v>
      </c>
    </row>
    <row r="20" spans="1:14" ht="12.75">
      <c r="A20" t="s">
        <v>19</v>
      </c>
      <c r="D20">
        <f>E20*D9/E9</f>
        <v>43.333333333333336</v>
      </c>
      <c r="E20">
        <f>65</f>
        <v>65</v>
      </c>
      <c r="F20">
        <f>E20*$F$12</f>
        <v>69.55</v>
      </c>
      <c r="G20">
        <f>F20*$G$12</f>
        <v>74.07075</v>
      </c>
      <c r="H20">
        <f>G20*$H$12</f>
        <v>78.51499500000003</v>
      </c>
      <c r="I20">
        <f>H20*$I$12</f>
        <v>82.83331972500005</v>
      </c>
      <c r="J20">
        <f>I20*$J$12</f>
        <v>86.9749857112501</v>
      </c>
      <c r="K20">
        <f>J20*$K$12</f>
        <v>90.8888600682564</v>
      </c>
      <c r="L20">
        <f>K20*$L$12</f>
        <v>94.52441447098673</v>
      </c>
      <c r="M20">
        <f>L20*$M$12</f>
        <v>97.83276897747133</v>
      </c>
      <c r="N20">
        <f>M20*$N$12</f>
        <v>100.76775204679556</v>
      </c>
    </row>
    <row r="21" ht="12.75">
      <c r="A21" t="s">
        <v>25</v>
      </c>
    </row>
    <row r="22" spans="1:14" ht="12.75">
      <c r="A22" t="s">
        <v>17</v>
      </c>
      <c r="D22">
        <f aca="true" t="shared" si="4" ref="D22:N22">D18*1000/D7</f>
        <v>250</v>
      </c>
      <c r="E22">
        <f t="shared" si="4"/>
        <v>250</v>
      </c>
      <c r="F22">
        <f t="shared" si="4"/>
        <v>267.5</v>
      </c>
      <c r="G22">
        <f t="shared" si="4"/>
        <v>284.88750000000005</v>
      </c>
      <c r="H22">
        <f t="shared" si="4"/>
        <v>301.9807500000001</v>
      </c>
      <c r="I22">
        <f t="shared" si="4"/>
        <v>318.58969125000027</v>
      </c>
      <c r="J22">
        <f t="shared" si="4"/>
        <v>334.5191758125004</v>
      </c>
      <c r="K22">
        <f t="shared" si="4"/>
        <v>349.5725387240631</v>
      </c>
      <c r="L22">
        <f t="shared" si="4"/>
        <v>363.5554402730259</v>
      </c>
      <c r="M22">
        <f t="shared" si="4"/>
        <v>376.27988068258213</v>
      </c>
      <c r="N22">
        <f t="shared" si="4"/>
        <v>387.5682771030599</v>
      </c>
    </row>
    <row r="23" spans="1:14" ht="12.75">
      <c r="A23" t="s">
        <v>18</v>
      </c>
      <c r="D23">
        <f aca="true" t="shared" si="5" ref="D23:N23">D19*1000/D8</f>
        <v>450</v>
      </c>
      <c r="E23">
        <f t="shared" si="5"/>
        <v>450</v>
      </c>
      <c r="F23">
        <f t="shared" si="5"/>
        <v>481.50000000000006</v>
      </c>
      <c r="G23">
        <f t="shared" si="5"/>
        <v>512.7975000000001</v>
      </c>
      <c r="H23">
        <f t="shared" si="5"/>
        <v>543.5653500000003</v>
      </c>
      <c r="I23">
        <f t="shared" si="5"/>
        <v>573.4614442500005</v>
      </c>
      <c r="J23">
        <f t="shared" si="5"/>
        <v>602.1345164625008</v>
      </c>
      <c r="K23">
        <f t="shared" si="5"/>
        <v>629.2305697033137</v>
      </c>
      <c r="L23">
        <f t="shared" si="5"/>
        <v>654.3997924914468</v>
      </c>
      <c r="M23">
        <f t="shared" si="5"/>
        <v>677.3037852286477</v>
      </c>
      <c r="N23">
        <f t="shared" si="5"/>
        <v>697.6228987855079</v>
      </c>
    </row>
    <row r="24" spans="1:14" ht="12.75">
      <c r="A24" t="s">
        <v>19</v>
      </c>
      <c r="D24">
        <f aca="true" t="shared" si="6" ref="D24:N24">D20*1000/D9</f>
        <v>433.33333333333337</v>
      </c>
      <c r="E24">
        <f t="shared" si="6"/>
        <v>433.3333333333333</v>
      </c>
      <c r="F24">
        <f t="shared" si="6"/>
        <v>463.6666666666667</v>
      </c>
      <c r="G24">
        <f t="shared" si="6"/>
        <v>493.805</v>
      </c>
      <c r="H24">
        <f t="shared" si="6"/>
        <v>523.4333000000001</v>
      </c>
      <c r="I24">
        <f t="shared" si="6"/>
        <v>552.2221315000004</v>
      </c>
      <c r="J24">
        <f t="shared" si="6"/>
        <v>579.8332380750007</v>
      </c>
      <c r="K24">
        <f t="shared" si="6"/>
        <v>605.925733788376</v>
      </c>
      <c r="L24">
        <f t="shared" si="6"/>
        <v>630.1627631399115</v>
      </c>
      <c r="M24">
        <f t="shared" si="6"/>
        <v>652.2184598498089</v>
      </c>
      <c r="N24">
        <f t="shared" si="6"/>
        <v>671.7850136453037</v>
      </c>
    </row>
    <row r="25" ht="12.75">
      <c r="A25" t="s">
        <v>26</v>
      </c>
    </row>
    <row r="26" spans="1:14" ht="12.75">
      <c r="A26" t="s">
        <v>17</v>
      </c>
      <c r="D26">
        <f aca="true" t="shared" si="7" ref="D26:N26">D14+D18</f>
        <v>71.42666666666666</v>
      </c>
      <c r="E26">
        <f t="shared" si="7"/>
        <v>107.14</v>
      </c>
      <c r="F26">
        <f t="shared" si="7"/>
        <v>114.63980000000001</v>
      </c>
      <c r="G26">
        <f t="shared" si="7"/>
        <v>122.09138700000003</v>
      </c>
      <c r="H26">
        <f t="shared" si="7"/>
        <v>129.41687022000005</v>
      </c>
      <c r="I26">
        <f t="shared" si="7"/>
        <v>136.5347980821001</v>
      </c>
      <c r="J26">
        <f t="shared" si="7"/>
        <v>143.36153798620518</v>
      </c>
      <c r="K26">
        <f t="shared" si="7"/>
        <v>149.81280719558453</v>
      </c>
      <c r="L26">
        <f t="shared" si="7"/>
        <v>155.805319483408</v>
      </c>
      <c r="M26">
        <f t="shared" si="7"/>
        <v>161.2585056653274</v>
      </c>
      <c r="N26">
        <f t="shared" si="7"/>
        <v>166.09626083528738</v>
      </c>
    </row>
    <row r="27" spans="1:14" ht="12.75">
      <c r="A27" t="s">
        <v>18</v>
      </c>
      <c r="D27">
        <f aca="true" t="shared" si="8" ref="D27:N27">D15+D19</f>
        <v>45.003</v>
      </c>
      <c r="E27">
        <f t="shared" si="8"/>
        <v>64.28999999999999</v>
      </c>
      <c r="F27">
        <f t="shared" si="8"/>
        <v>68.7903</v>
      </c>
      <c r="G27">
        <f t="shared" si="8"/>
        <v>73.26166950000001</v>
      </c>
      <c r="H27">
        <f t="shared" si="8"/>
        <v>77.65736967000004</v>
      </c>
      <c r="I27">
        <f t="shared" si="8"/>
        <v>81.92852500185006</v>
      </c>
      <c r="J27">
        <f t="shared" si="8"/>
        <v>86.02495125194261</v>
      </c>
      <c r="K27">
        <f t="shared" si="8"/>
        <v>89.89607405828008</v>
      </c>
      <c r="L27">
        <f t="shared" si="8"/>
        <v>93.49191702061135</v>
      </c>
      <c r="M27">
        <f t="shared" si="8"/>
        <v>96.76413411633283</v>
      </c>
      <c r="N27">
        <f t="shared" si="8"/>
        <v>99.6670581398229</v>
      </c>
    </row>
    <row r="28" spans="1:15" ht="12.75">
      <c r="A28" t="s">
        <v>19</v>
      </c>
      <c r="D28">
        <f aca="true" t="shared" si="9" ref="D28:N28">D16+D20</f>
        <v>61.913333333333334</v>
      </c>
      <c r="E28">
        <f t="shared" si="9"/>
        <v>92.87</v>
      </c>
      <c r="F28">
        <f t="shared" si="9"/>
        <v>99.3709</v>
      </c>
      <c r="G28">
        <f t="shared" si="9"/>
        <v>105.83000850000002</v>
      </c>
      <c r="H28">
        <f t="shared" si="9"/>
        <v>112.17980901000004</v>
      </c>
      <c r="I28">
        <f t="shared" si="9"/>
        <v>118.34969850555008</v>
      </c>
      <c r="J28">
        <f t="shared" si="9"/>
        <v>124.26718343082764</v>
      </c>
      <c r="K28">
        <f t="shared" si="9"/>
        <v>129.85920668521496</v>
      </c>
      <c r="L28">
        <f t="shared" si="9"/>
        <v>135.05357495262365</v>
      </c>
      <c r="M28">
        <f t="shared" si="9"/>
        <v>139.78045007596558</v>
      </c>
      <c r="N28">
        <f t="shared" si="9"/>
        <v>143.97386357824467</v>
      </c>
      <c r="O28">
        <f>SUM(D26:N28)</f>
        <v>3597.806979965179</v>
      </c>
    </row>
    <row r="29" ht="12.75">
      <c r="A29" t="s">
        <v>27</v>
      </c>
    </row>
    <row r="30" spans="1:14" ht="12.75">
      <c r="A30" t="s">
        <v>17</v>
      </c>
      <c r="D30">
        <f aca="true" t="shared" si="10" ref="D30:N30">D26/(D26+D27+D28)*100</f>
        <v>40.05016550504739</v>
      </c>
      <c r="E30">
        <f t="shared" si="10"/>
        <v>40.53726825576996</v>
      </c>
      <c r="F30">
        <f t="shared" si="10"/>
        <v>40.53726825576995</v>
      </c>
      <c r="G30">
        <f t="shared" si="10"/>
        <v>40.53726825576996</v>
      </c>
      <c r="H30">
        <f t="shared" si="10"/>
        <v>40.53726825576995</v>
      </c>
      <c r="I30">
        <f t="shared" si="10"/>
        <v>40.537268255769966</v>
      </c>
      <c r="J30">
        <f t="shared" si="10"/>
        <v>40.53726825576996</v>
      </c>
      <c r="K30">
        <f t="shared" si="10"/>
        <v>40.53726825576997</v>
      </c>
      <c r="L30">
        <f t="shared" si="10"/>
        <v>40.537268255769966</v>
      </c>
      <c r="M30">
        <f t="shared" si="10"/>
        <v>40.53726825576996</v>
      </c>
      <c r="N30">
        <f t="shared" si="10"/>
        <v>40.537268255769966</v>
      </c>
    </row>
    <row r="31" spans="1:14" ht="12.75">
      <c r="A31" t="s">
        <v>18</v>
      </c>
      <c r="D31">
        <f aca="true" t="shared" si="11" ref="D31:N31">D27/(D27+D28+D26)*100</f>
        <v>25.233959280711883</v>
      </c>
      <c r="E31">
        <f t="shared" si="11"/>
        <v>24.324631101021563</v>
      </c>
      <c r="F31">
        <f t="shared" si="11"/>
        <v>24.324631101021563</v>
      </c>
      <c r="G31">
        <f t="shared" si="11"/>
        <v>24.324631101021566</v>
      </c>
      <c r="H31">
        <f t="shared" si="11"/>
        <v>24.324631101021566</v>
      </c>
      <c r="I31">
        <f t="shared" si="11"/>
        <v>24.32463110102157</v>
      </c>
      <c r="J31">
        <f t="shared" si="11"/>
        <v>24.32463110102157</v>
      </c>
      <c r="K31">
        <f t="shared" si="11"/>
        <v>24.32463110102157</v>
      </c>
      <c r="L31">
        <f t="shared" si="11"/>
        <v>24.32463110102157</v>
      </c>
      <c r="M31">
        <f t="shared" si="11"/>
        <v>24.32463110102157</v>
      </c>
      <c r="N31">
        <f t="shared" si="11"/>
        <v>24.32463110102157</v>
      </c>
    </row>
    <row r="32" spans="1:14" ht="12.75">
      <c r="A32" t="s">
        <v>19</v>
      </c>
      <c r="D32">
        <f aca="true" t="shared" si="12" ref="D32:N32">D28/(D26+D27+D28)*100</f>
        <v>34.715875214240725</v>
      </c>
      <c r="E32">
        <f t="shared" si="12"/>
        <v>35.138100643208475</v>
      </c>
      <c r="F32">
        <f t="shared" si="12"/>
        <v>35.13810064320847</v>
      </c>
      <c r="G32">
        <f t="shared" si="12"/>
        <v>35.138100643208475</v>
      </c>
      <c r="H32">
        <f t="shared" si="12"/>
        <v>35.13810064320847</v>
      </c>
      <c r="I32">
        <f t="shared" si="12"/>
        <v>35.138100643208475</v>
      </c>
      <c r="J32">
        <f t="shared" si="12"/>
        <v>35.13810064320847</v>
      </c>
      <c r="K32">
        <f t="shared" si="12"/>
        <v>35.13810064320847</v>
      </c>
      <c r="L32">
        <f t="shared" si="12"/>
        <v>35.13810064320847</v>
      </c>
      <c r="M32">
        <f t="shared" si="12"/>
        <v>35.13810064320847</v>
      </c>
      <c r="N32">
        <f t="shared" si="12"/>
        <v>35.13810064320847</v>
      </c>
    </row>
    <row r="33" ht="12.75">
      <c r="A33" t="s">
        <v>28</v>
      </c>
    </row>
    <row r="34" spans="1:14" ht="12.75">
      <c r="A34" t="s">
        <v>17</v>
      </c>
      <c r="D34">
        <f aca="true" t="shared" si="13" ref="D34:N34">D26/D7*1000</f>
        <v>357.1333333333333</v>
      </c>
      <c r="E34">
        <f t="shared" si="13"/>
        <v>357.1333333333334</v>
      </c>
      <c r="F34">
        <f t="shared" si="13"/>
        <v>382.1326666666667</v>
      </c>
      <c r="G34">
        <f t="shared" si="13"/>
        <v>406.9712900000001</v>
      </c>
      <c r="H34">
        <f t="shared" si="13"/>
        <v>431.38956740000015</v>
      </c>
      <c r="I34">
        <f t="shared" si="13"/>
        <v>455.1159936070004</v>
      </c>
      <c r="J34">
        <f t="shared" si="13"/>
        <v>477.87179328735056</v>
      </c>
      <c r="K34">
        <f t="shared" si="13"/>
        <v>499.37602398528173</v>
      </c>
      <c r="L34">
        <f t="shared" si="13"/>
        <v>519.3510649446933</v>
      </c>
      <c r="M34">
        <f t="shared" si="13"/>
        <v>537.528352217758</v>
      </c>
      <c r="N34">
        <f t="shared" si="13"/>
        <v>553.6542027842912</v>
      </c>
    </row>
    <row r="35" spans="1:14" ht="12.75">
      <c r="A35" t="s">
        <v>18</v>
      </c>
      <c r="D35">
        <f aca="true" t="shared" si="14" ref="D35:N35">D27/D8*1000</f>
        <v>642.9</v>
      </c>
      <c r="E35">
        <f t="shared" si="14"/>
        <v>642.8999999999999</v>
      </c>
      <c r="F35">
        <f t="shared" si="14"/>
        <v>687.903</v>
      </c>
      <c r="G35">
        <f t="shared" si="14"/>
        <v>732.6166950000002</v>
      </c>
      <c r="H35">
        <f t="shared" si="14"/>
        <v>776.5736967000004</v>
      </c>
      <c r="I35">
        <f t="shared" si="14"/>
        <v>819.2852500185006</v>
      </c>
      <c r="J35">
        <f t="shared" si="14"/>
        <v>860.249512519426</v>
      </c>
      <c r="K35">
        <f t="shared" si="14"/>
        <v>898.9607405828008</v>
      </c>
      <c r="L35">
        <f t="shared" si="14"/>
        <v>934.9191702061134</v>
      </c>
      <c r="M35">
        <f t="shared" si="14"/>
        <v>967.6413411633282</v>
      </c>
      <c r="N35">
        <f t="shared" si="14"/>
        <v>996.6705813982289</v>
      </c>
    </row>
    <row r="36" spans="1:14" ht="12.75">
      <c r="A36" t="s">
        <v>19</v>
      </c>
      <c r="D36">
        <f aca="true" t="shared" si="15" ref="D36:N36">D28/D9*1000</f>
        <v>619.1333333333333</v>
      </c>
      <c r="E36">
        <f t="shared" si="15"/>
        <v>619.1333333333333</v>
      </c>
      <c r="F36">
        <f t="shared" si="15"/>
        <v>662.4726666666667</v>
      </c>
      <c r="G36">
        <f t="shared" si="15"/>
        <v>705.5333900000002</v>
      </c>
      <c r="H36">
        <f t="shared" si="15"/>
        <v>747.8653934000002</v>
      </c>
      <c r="I36">
        <f t="shared" si="15"/>
        <v>788.9979900370006</v>
      </c>
      <c r="J36">
        <f t="shared" si="15"/>
        <v>828.447889538851</v>
      </c>
      <c r="K36">
        <f t="shared" si="15"/>
        <v>865.7280445680997</v>
      </c>
      <c r="L36">
        <f t="shared" si="15"/>
        <v>900.3571663508243</v>
      </c>
      <c r="M36">
        <f t="shared" si="15"/>
        <v>931.8696671731038</v>
      </c>
      <c r="N36">
        <f t="shared" si="15"/>
        <v>959.8257571882979</v>
      </c>
    </row>
    <row r="37" ht="12.75">
      <c r="A37" t="s">
        <v>29</v>
      </c>
    </row>
    <row r="38" spans="1:14" ht="12.75">
      <c r="A38" t="s">
        <v>17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</row>
    <row r="39" spans="1:14" ht="12.75">
      <c r="A39" t="s">
        <v>18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</row>
    <row r="40" spans="1:14" ht="12.75">
      <c r="A40" t="s">
        <v>19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>
        <v>30</v>
      </c>
      <c r="K40">
        <v>30</v>
      </c>
      <c r="L40">
        <v>30</v>
      </c>
      <c r="M40">
        <v>30</v>
      </c>
      <c r="N40">
        <v>30</v>
      </c>
    </row>
    <row r="41" ht="12.75">
      <c r="A41" t="s">
        <v>30</v>
      </c>
    </row>
    <row r="42" spans="1:14" ht="12.75">
      <c r="A42" t="s">
        <v>17</v>
      </c>
      <c r="D42">
        <f aca="true" t="shared" si="16" ref="D42:N42">D34*(1+D38/100)</f>
        <v>446.41666666666663</v>
      </c>
      <c r="E42">
        <f t="shared" si="16"/>
        <v>446.41666666666674</v>
      </c>
      <c r="F42">
        <f t="shared" si="16"/>
        <v>477.66583333333335</v>
      </c>
      <c r="G42">
        <f t="shared" si="16"/>
        <v>508.71411250000017</v>
      </c>
      <c r="H42">
        <f t="shared" si="16"/>
        <v>539.2369592500002</v>
      </c>
      <c r="I42">
        <f t="shared" si="16"/>
        <v>568.8949920087505</v>
      </c>
      <c r="J42">
        <f t="shared" si="16"/>
        <v>597.3397416091882</v>
      </c>
      <c r="K42">
        <f t="shared" si="16"/>
        <v>624.2200299816021</v>
      </c>
      <c r="L42">
        <f t="shared" si="16"/>
        <v>649.1888311808667</v>
      </c>
      <c r="M42">
        <f t="shared" si="16"/>
        <v>671.9104402721974</v>
      </c>
      <c r="N42">
        <f t="shared" si="16"/>
        <v>692.067753480364</v>
      </c>
    </row>
    <row r="43" spans="1:14" ht="12.75">
      <c r="A43" t="s">
        <v>18</v>
      </c>
      <c r="D43">
        <f aca="true" t="shared" si="17" ref="D43:N43">D35*(1+D39/100)</f>
        <v>771.4799999999999</v>
      </c>
      <c r="E43">
        <f t="shared" si="17"/>
        <v>771.4799999999998</v>
      </c>
      <c r="F43">
        <f t="shared" si="17"/>
        <v>825.4836</v>
      </c>
      <c r="G43">
        <f t="shared" si="17"/>
        <v>879.1400340000001</v>
      </c>
      <c r="H43">
        <f t="shared" si="17"/>
        <v>931.8884360400004</v>
      </c>
      <c r="I43">
        <f t="shared" si="17"/>
        <v>983.1423000222007</v>
      </c>
      <c r="J43">
        <f t="shared" si="17"/>
        <v>1032.2994150233112</v>
      </c>
      <c r="K43">
        <f t="shared" si="17"/>
        <v>1078.752888699361</v>
      </c>
      <c r="L43">
        <f t="shared" si="17"/>
        <v>1121.9030042473362</v>
      </c>
      <c r="M43">
        <f t="shared" si="17"/>
        <v>1161.1696093959938</v>
      </c>
      <c r="N43">
        <f t="shared" si="17"/>
        <v>1196.0046976778747</v>
      </c>
    </row>
    <row r="44" spans="1:14" ht="12.75">
      <c r="A44" t="s">
        <v>19</v>
      </c>
      <c r="D44">
        <f aca="true" t="shared" si="18" ref="D44:N44">D36*(1+D40/100)</f>
        <v>804.8733333333333</v>
      </c>
      <c r="E44">
        <f t="shared" si="18"/>
        <v>804.8733333333333</v>
      </c>
      <c r="F44">
        <f t="shared" si="18"/>
        <v>861.2144666666667</v>
      </c>
      <c r="G44">
        <f t="shared" si="18"/>
        <v>917.1934070000002</v>
      </c>
      <c r="H44">
        <f t="shared" si="18"/>
        <v>972.2250114200003</v>
      </c>
      <c r="I44">
        <f t="shared" si="18"/>
        <v>1025.6973870481008</v>
      </c>
      <c r="J44">
        <f t="shared" si="18"/>
        <v>1076.9822564005062</v>
      </c>
      <c r="K44">
        <f t="shared" si="18"/>
        <v>1125.4464579385296</v>
      </c>
      <c r="L44">
        <f t="shared" si="18"/>
        <v>1170.4643162560717</v>
      </c>
      <c r="M44">
        <f t="shared" si="18"/>
        <v>1211.430567325035</v>
      </c>
      <c r="N44">
        <f t="shared" si="18"/>
        <v>1247.7734843447872</v>
      </c>
    </row>
    <row r="45" ht="12.75">
      <c r="A45" t="s">
        <v>31</v>
      </c>
    </row>
    <row r="46" spans="1:14" ht="12.75">
      <c r="A46" t="s">
        <v>17</v>
      </c>
      <c r="D46">
        <f aca="true" t="shared" si="19" ref="D46:N46">D42*D7/1000</f>
        <v>89.28333333333333</v>
      </c>
      <c r="E46">
        <f t="shared" si="19"/>
        <v>133.92500000000004</v>
      </c>
      <c r="F46">
        <f t="shared" si="19"/>
        <v>143.29975</v>
      </c>
      <c r="G46">
        <f t="shared" si="19"/>
        <v>152.61423375000004</v>
      </c>
      <c r="H46">
        <f t="shared" si="19"/>
        <v>161.77108777500004</v>
      </c>
      <c r="I46">
        <f t="shared" si="19"/>
        <v>170.66849760262514</v>
      </c>
      <c r="J46">
        <f t="shared" si="19"/>
        <v>179.20192248275646</v>
      </c>
      <c r="K46">
        <f t="shared" si="19"/>
        <v>187.26600899448061</v>
      </c>
      <c r="L46">
        <f t="shared" si="19"/>
        <v>194.75664935426002</v>
      </c>
      <c r="M46">
        <f t="shared" si="19"/>
        <v>201.57313208165922</v>
      </c>
      <c r="N46">
        <f t="shared" si="19"/>
        <v>207.6203260441092</v>
      </c>
    </row>
    <row r="47" spans="1:14" ht="12.75">
      <c r="A47" t="s">
        <v>18</v>
      </c>
      <c r="D47">
        <f aca="true" t="shared" si="20" ref="D47:N47">D43*D8/1000</f>
        <v>54.00359999999999</v>
      </c>
      <c r="E47">
        <f t="shared" si="20"/>
        <v>77.14799999999998</v>
      </c>
      <c r="F47">
        <f t="shared" si="20"/>
        <v>82.54836</v>
      </c>
      <c r="G47">
        <f t="shared" si="20"/>
        <v>87.91400340000001</v>
      </c>
      <c r="H47">
        <f t="shared" si="20"/>
        <v>93.18884360400004</v>
      </c>
      <c r="I47">
        <f t="shared" si="20"/>
        <v>98.31423000222009</v>
      </c>
      <c r="J47">
        <f t="shared" si="20"/>
        <v>103.22994150233112</v>
      </c>
      <c r="K47">
        <f t="shared" si="20"/>
        <v>107.87528886993609</v>
      </c>
      <c r="L47">
        <f t="shared" si="20"/>
        <v>112.19030042473362</v>
      </c>
      <c r="M47">
        <f t="shared" si="20"/>
        <v>116.11696093959938</v>
      </c>
      <c r="N47">
        <f t="shared" si="20"/>
        <v>119.60046976778746</v>
      </c>
    </row>
    <row r="48" spans="1:15" ht="12.75">
      <c r="A48" t="s">
        <v>19</v>
      </c>
      <c r="D48">
        <f aca="true" t="shared" si="21" ref="D48:N48">D44*D9/1000</f>
        <v>80.48733333333332</v>
      </c>
      <c r="E48">
        <f t="shared" si="21"/>
        <v>120.731</v>
      </c>
      <c r="F48">
        <f t="shared" si="21"/>
        <v>129.18216999999999</v>
      </c>
      <c r="G48">
        <f t="shared" si="21"/>
        <v>137.57901105000002</v>
      </c>
      <c r="H48">
        <f t="shared" si="21"/>
        <v>145.83375171300005</v>
      </c>
      <c r="I48">
        <f t="shared" si="21"/>
        <v>153.8546080572151</v>
      </c>
      <c r="J48">
        <f t="shared" si="21"/>
        <v>161.54733846007593</v>
      </c>
      <c r="K48">
        <f t="shared" si="21"/>
        <v>168.81696869077945</v>
      </c>
      <c r="L48">
        <f t="shared" si="21"/>
        <v>175.56964743841075</v>
      </c>
      <c r="M48">
        <f t="shared" si="21"/>
        <v>181.71458509875526</v>
      </c>
      <c r="N48">
        <f t="shared" si="21"/>
        <v>187.1660226517181</v>
      </c>
      <c r="O48">
        <f>SUM(D46:N48)</f>
        <v>4516.59237642212</v>
      </c>
    </row>
    <row r="49" spans="1:15" ht="12.75">
      <c r="A49" t="s">
        <v>32</v>
      </c>
      <c r="D49">
        <f aca="true" t="shared" si="22" ref="D49:N49">(D46+D47+D48)-(D26+D27+D28)</f>
        <v>45.43126666666663</v>
      </c>
      <c r="E49">
        <f t="shared" si="22"/>
        <v>67.50400000000002</v>
      </c>
      <c r="F49">
        <f t="shared" si="22"/>
        <v>72.2292799999999</v>
      </c>
      <c r="G49">
        <f t="shared" si="22"/>
        <v>76.92418320000002</v>
      </c>
      <c r="H49">
        <f t="shared" si="22"/>
        <v>81.539634192</v>
      </c>
      <c r="I49">
        <f t="shared" si="22"/>
        <v>86.02431407256006</v>
      </c>
      <c r="J49">
        <f t="shared" si="22"/>
        <v>90.32552977618809</v>
      </c>
      <c r="K49">
        <f t="shared" si="22"/>
        <v>94.3901786161166</v>
      </c>
      <c r="L49">
        <f t="shared" si="22"/>
        <v>98.16578576076142</v>
      </c>
      <c r="M49">
        <f t="shared" si="22"/>
        <v>101.60158826238802</v>
      </c>
      <c r="N49">
        <f t="shared" si="22"/>
        <v>104.6496359102598</v>
      </c>
      <c r="O49">
        <f>SUM(D49:N49)</f>
        <v>918.7853964569406</v>
      </c>
    </row>
    <row r="50" spans="1:14" ht="12.75">
      <c r="A50" t="s">
        <v>33</v>
      </c>
      <c r="D50">
        <f aca="true" t="shared" si="23" ref="D50:N50">(D26+D27+D28)/10</f>
        <v>17.8343</v>
      </c>
      <c r="E50">
        <f t="shared" si="23"/>
        <v>26.43</v>
      </c>
      <c r="F50">
        <f t="shared" si="23"/>
        <v>28.280100000000004</v>
      </c>
      <c r="G50">
        <f t="shared" si="23"/>
        <v>30.118306500000006</v>
      </c>
      <c r="H50">
        <f t="shared" si="23"/>
        <v>31.925404890000017</v>
      </c>
      <c r="I50">
        <f t="shared" si="23"/>
        <v>33.681302158950025</v>
      </c>
      <c r="J50">
        <f t="shared" si="23"/>
        <v>35.36536726689754</v>
      </c>
      <c r="K50">
        <f t="shared" si="23"/>
        <v>36.95680879390795</v>
      </c>
      <c r="L50">
        <f t="shared" si="23"/>
        <v>38.4350811456643</v>
      </c>
      <c r="M50">
        <f t="shared" si="23"/>
        <v>39.78030898576258</v>
      </c>
      <c r="N50">
        <f t="shared" si="23"/>
        <v>40.9737182553355</v>
      </c>
    </row>
    <row r="51" spans="1:14" ht="12.75">
      <c r="A51" t="s">
        <v>34</v>
      </c>
      <c r="B51">
        <f aca="true" t="shared" si="24" ref="B51:G51">B11*0.2</f>
        <v>18</v>
      </c>
      <c r="C51">
        <f t="shared" si="24"/>
        <v>36</v>
      </c>
      <c r="D51">
        <f t="shared" si="24"/>
        <v>45</v>
      </c>
      <c r="E51">
        <f t="shared" si="24"/>
        <v>36.785199999999996</v>
      </c>
      <c r="F51">
        <f t="shared" si="24"/>
        <v>27.99536400000002</v>
      </c>
      <c r="G51">
        <f t="shared" si="24"/>
        <v>18.634188660000017</v>
      </c>
      <c r="H51">
        <v>0</v>
      </c>
      <c r="I51">
        <f aca="true" t="shared" si="25" ref="I51:N51">I11*0.2</f>
        <v>0</v>
      </c>
      <c r="J51">
        <f t="shared" si="25"/>
        <v>0</v>
      </c>
      <c r="K51">
        <f t="shared" si="25"/>
        <v>0</v>
      </c>
      <c r="L51">
        <f t="shared" si="25"/>
        <v>0</v>
      </c>
      <c r="M51">
        <f t="shared" si="25"/>
        <v>0</v>
      </c>
      <c r="N51">
        <f t="shared" si="25"/>
        <v>0</v>
      </c>
    </row>
    <row r="52" spans="1:4" ht="12.75">
      <c r="A52" t="s">
        <v>35</v>
      </c>
      <c r="B52">
        <f>-(B49-B50-B51)</f>
        <v>18</v>
      </c>
      <c r="C52">
        <f>-(C49-C50-C51)+B53</f>
        <v>39.6</v>
      </c>
      <c r="D52">
        <f>-(D49-D50-D51)+C53</f>
        <v>24.92703333333337</v>
      </c>
    </row>
    <row r="53" spans="1:4" ht="12.75">
      <c r="A53" t="s">
        <v>36</v>
      </c>
      <c r="B53">
        <f>B52*0.2</f>
        <v>3.6</v>
      </c>
      <c r="C53">
        <f>C52*0.19</f>
        <v>7.524</v>
      </c>
      <c r="D53">
        <f>D52*0.18</f>
        <v>4.486866000000006</v>
      </c>
    </row>
    <row r="54" spans="1:15" ht="12.75">
      <c r="A54" t="s">
        <v>37</v>
      </c>
      <c r="B54">
        <f>-B51-B53</f>
        <v>-21.6</v>
      </c>
      <c r="C54">
        <f>-C51-C53</f>
        <v>-43.524</v>
      </c>
      <c r="D54">
        <f aca="true" t="shared" si="26" ref="D54:N54">D49-D50-D51-D53</f>
        <v>-21.889899333333375</v>
      </c>
      <c r="E54">
        <f t="shared" si="26"/>
        <v>4.288800000000023</v>
      </c>
      <c r="F54">
        <f t="shared" si="26"/>
        <v>15.953815999999879</v>
      </c>
      <c r="G54">
        <f t="shared" si="26"/>
        <v>28.171688039999996</v>
      </c>
      <c r="H54">
        <f t="shared" si="26"/>
        <v>49.61422930199998</v>
      </c>
      <c r="I54">
        <f t="shared" si="26"/>
        <v>52.343011913610034</v>
      </c>
      <c r="J54">
        <f t="shared" si="26"/>
        <v>54.96016250929055</v>
      </c>
      <c r="K54">
        <f t="shared" si="26"/>
        <v>57.43336982220865</v>
      </c>
      <c r="L54">
        <f t="shared" si="26"/>
        <v>59.730704615097125</v>
      </c>
      <c r="M54">
        <f t="shared" si="26"/>
        <v>61.82127927662544</v>
      </c>
      <c r="N54">
        <f t="shared" si="26"/>
        <v>63.675917654924305</v>
      </c>
      <c r="O54">
        <f>SUM(B54:N54)</f>
        <v>360.9790798004226</v>
      </c>
    </row>
    <row r="55" spans="1:14" ht="12.75">
      <c r="A55" t="s">
        <v>38</v>
      </c>
      <c r="B55">
        <v>0</v>
      </c>
      <c r="C55">
        <v>0</v>
      </c>
      <c r="D55">
        <v>0</v>
      </c>
      <c r="E55">
        <f aca="true" t="shared" si="27" ref="E55:N55">E54*0.3</f>
        <v>1.286640000000007</v>
      </c>
      <c r="F55">
        <f t="shared" si="27"/>
        <v>4.786144799999963</v>
      </c>
      <c r="G55">
        <f t="shared" si="27"/>
        <v>8.451506411999999</v>
      </c>
      <c r="H55">
        <f t="shared" si="27"/>
        <v>14.884268790599993</v>
      </c>
      <c r="I55">
        <f t="shared" si="27"/>
        <v>15.70290357408301</v>
      </c>
      <c r="J55">
        <f t="shared" si="27"/>
        <v>16.488048752787165</v>
      </c>
      <c r="K55">
        <f t="shared" si="27"/>
        <v>17.230010946662592</v>
      </c>
      <c r="L55">
        <f t="shared" si="27"/>
        <v>17.919211384529138</v>
      </c>
      <c r="M55">
        <f t="shared" si="27"/>
        <v>18.546383782987633</v>
      </c>
      <c r="N55">
        <f t="shared" si="27"/>
        <v>19.10277529647729</v>
      </c>
    </row>
    <row r="56" spans="1:15" ht="12.75">
      <c r="A56" t="s">
        <v>39</v>
      </c>
      <c r="B56">
        <f aca="true" t="shared" si="28" ref="B56:N56">B54-B55</f>
        <v>-21.6</v>
      </c>
      <c r="C56">
        <f t="shared" si="28"/>
        <v>-43.524</v>
      </c>
      <c r="D56">
        <f t="shared" si="28"/>
        <v>-21.889899333333375</v>
      </c>
      <c r="E56">
        <f t="shared" si="28"/>
        <v>3.0021600000000164</v>
      </c>
      <c r="F56">
        <f t="shared" si="28"/>
        <v>11.167671199999916</v>
      </c>
      <c r="G56">
        <f t="shared" si="28"/>
        <v>19.720181628</v>
      </c>
      <c r="H56">
        <f t="shared" si="28"/>
        <v>34.72996051139998</v>
      </c>
      <c r="I56">
        <f t="shared" si="28"/>
        <v>36.640108339527025</v>
      </c>
      <c r="J56">
        <f t="shared" si="28"/>
        <v>38.47211375650338</v>
      </c>
      <c r="K56">
        <f t="shared" si="28"/>
        <v>40.20335887554606</v>
      </c>
      <c r="L56">
        <f t="shared" si="28"/>
        <v>41.81149323056799</v>
      </c>
      <c r="M56">
        <f t="shared" si="28"/>
        <v>43.27489549363781</v>
      </c>
      <c r="N56">
        <f t="shared" si="28"/>
        <v>44.573142358447015</v>
      </c>
      <c r="O56">
        <f>SUM(B56:N56)</f>
        <v>226.5811860602958</v>
      </c>
    </row>
    <row r="57" spans="1:14" ht="12.75">
      <c r="A57" t="s">
        <v>40</v>
      </c>
      <c r="C57">
        <f>0.208*3</f>
        <v>0.624</v>
      </c>
      <c r="D57">
        <f>0.208*12+1.875*5</f>
        <v>11.871</v>
      </c>
      <c r="E57">
        <f aca="true" t="shared" si="29" ref="E57:M57">0.208*12+1.875*12</f>
        <v>24.996</v>
      </c>
      <c r="F57">
        <f t="shared" si="29"/>
        <v>24.996</v>
      </c>
      <c r="G57">
        <f t="shared" si="29"/>
        <v>24.996</v>
      </c>
      <c r="H57">
        <f t="shared" si="29"/>
        <v>24.996</v>
      </c>
      <c r="I57">
        <f t="shared" si="29"/>
        <v>24.996</v>
      </c>
      <c r="J57">
        <f t="shared" si="29"/>
        <v>24.996</v>
      </c>
      <c r="K57">
        <f t="shared" si="29"/>
        <v>24.996</v>
      </c>
      <c r="L57">
        <f t="shared" si="29"/>
        <v>24.996</v>
      </c>
      <c r="M57">
        <f t="shared" si="29"/>
        <v>24.996</v>
      </c>
      <c r="N57">
        <f>1.875*7+0.208*12</f>
        <v>15.621</v>
      </c>
    </row>
    <row r="59" spans="1:14" ht="12.75">
      <c r="A59" t="s">
        <v>41</v>
      </c>
      <c r="B59">
        <f>-B10+B56</f>
        <v>-111.6</v>
      </c>
      <c r="C59">
        <f aca="true" t="shared" si="30" ref="C59:N59">-C10+C56+C57</f>
        <v>-132.9</v>
      </c>
      <c r="D59">
        <f t="shared" si="30"/>
        <v>-55.01889933333337</v>
      </c>
      <c r="E59">
        <f t="shared" si="30"/>
        <v>27.998160000000016</v>
      </c>
      <c r="F59">
        <f t="shared" si="30"/>
        <v>36.16367119999991</v>
      </c>
      <c r="G59">
        <f t="shared" si="30"/>
        <v>44.716181628</v>
      </c>
      <c r="H59">
        <f t="shared" si="30"/>
        <v>59.725960511399975</v>
      </c>
      <c r="I59">
        <f t="shared" si="30"/>
        <v>61.63610833952703</v>
      </c>
      <c r="J59">
        <f t="shared" si="30"/>
        <v>63.468113756503385</v>
      </c>
      <c r="K59">
        <f t="shared" si="30"/>
        <v>65.19935887554605</v>
      </c>
      <c r="L59">
        <f t="shared" si="30"/>
        <v>66.80749323056799</v>
      </c>
      <c r="M59">
        <f t="shared" si="30"/>
        <v>68.27089549363781</v>
      </c>
      <c r="N59">
        <f t="shared" si="30"/>
        <v>60.19414235844702</v>
      </c>
    </row>
    <row r="60" spans="1:14" ht="12.75">
      <c r="A60" t="s">
        <v>42</v>
      </c>
      <c r="B60">
        <f>B59</f>
        <v>-111.6</v>
      </c>
      <c r="C60">
        <f aca="true" t="shared" si="31" ref="C60:N60">C59+B60</f>
        <v>-244.5</v>
      </c>
      <c r="D60">
        <f t="shared" si="31"/>
        <v>-299.51889933333337</v>
      </c>
      <c r="E60">
        <f t="shared" si="31"/>
        <v>-271.5207393333333</v>
      </c>
      <c r="F60">
        <f t="shared" si="31"/>
        <v>-235.35706813333343</v>
      </c>
      <c r="G60">
        <f t="shared" si="31"/>
        <v>-190.6408865053334</v>
      </c>
      <c r="H60">
        <f t="shared" si="31"/>
        <v>-130.91492599393342</v>
      </c>
      <c r="I60">
        <f t="shared" si="31"/>
        <v>-69.2788176544064</v>
      </c>
      <c r="J60">
        <f t="shared" si="31"/>
        <v>-5.810703897903011</v>
      </c>
      <c r="K60">
        <f t="shared" si="31"/>
        <v>59.38865497764304</v>
      </c>
      <c r="L60">
        <f t="shared" si="31"/>
        <v>126.19614820821103</v>
      </c>
      <c r="M60">
        <f t="shared" si="31"/>
        <v>194.46704370184884</v>
      </c>
      <c r="N60">
        <f t="shared" si="31"/>
        <v>254.66118606029585</v>
      </c>
    </row>
    <row r="62" spans="1:14" ht="12.75">
      <c r="A62" t="s">
        <v>43</v>
      </c>
      <c r="B62">
        <f>1/POWER(1.2,0.5)</f>
        <v>0.9128709291752769</v>
      </c>
      <c r="C62">
        <f>1/POWER(1.2,1.5)</f>
        <v>0.7607257743127307</v>
      </c>
      <c r="D62">
        <f>1/POWER(1.2,2.5)</f>
        <v>0.633938145260609</v>
      </c>
      <c r="E62">
        <f>1/POWER(1.2,3.5)</f>
        <v>0.5282817877171742</v>
      </c>
      <c r="F62">
        <f>1/POWER(1.2,4.5)</f>
        <v>0.44023482309764517</v>
      </c>
      <c r="G62">
        <f>1/POWER(1.2,5.5)</f>
        <v>0.36686235258137107</v>
      </c>
      <c r="H62">
        <f>1/POWER(1.2,6.5)</f>
        <v>0.3057186271511425</v>
      </c>
      <c r="I62">
        <f>1/POWER(1.2,7.5)</f>
        <v>0.25476552262595203</v>
      </c>
      <c r="J62">
        <f>1/POWER(1.2,8.5)</f>
        <v>0.21230460218829345</v>
      </c>
      <c r="K62">
        <f>1/POWER(1.2,9.5)</f>
        <v>0.17692050182357785</v>
      </c>
      <c r="L62">
        <f>1/POWER(1.2,10.5)</f>
        <v>0.14743375151964822</v>
      </c>
      <c r="M62">
        <f>1/POWER(1.2,11.5)</f>
        <v>0.12286145959970685</v>
      </c>
      <c r="N62">
        <f>1/POWER(1.2,12.5)</f>
        <v>0.1023845496664224</v>
      </c>
    </row>
    <row r="63" spans="1:14" ht="12.75">
      <c r="A63" t="s">
        <v>44</v>
      </c>
      <c r="B63">
        <f aca="true" t="shared" si="32" ref="B63:N63">B59*B62</f>
        <v>-101.8763956959609</v>
      </c>
      <c r="C63">
        <f t="shared" si="32"/>
        <v>-101.10045540616191</v>
      </c>
      <c r="D63">
        <f t="shared" si="32"/>
        <v>-34.87857899765351</v>
      </c>
      <c r="E63">
        <f t="shared" si="32"/>
        <v>14.790918017591485</v>
      </c>
      <c r="F63">
        <f t="shared" si="32"/>
        <v>15.920507393293367</v>
      </c>
      <c r="G63">
        <f t="shared" si="32"/>
        <v>16.404683590503964</v>
      </c>
      <c r="H63">
        <f t="shared" si="32"/>
        <v>18.25933865282855</v>
      </c>
      <c r="I63">
        <f t="shared" si="32"/>
        <v>15.702755353749403</v>
      </c>
      <c r="J63">
        <f t="shared" si="32"/>
        <v>13.474572642715806</v>
      </c>
      <c r="K63">
        <f t="shared" si="32"/>
        <v>11.535103290837153</v>
      </c>
      <c r="L63">
        <f t="shared" si="32"/>
        <v>9.84967935660614</v>
      </c>
      <c r="M63">
        <f t="shared" si="32"/>
        <v>8.38786186852739</v>
      </c>
      <c r="N63">
        <f t="shared" si="32"/>
        <v>6.162950157926119</v>
      </c>
    </row>
    <row r="64" spans="1:14" ht="12.75">
      <c r="A64" t="s">
        <v>45</v>
      </c>
      <c r="B64">
        <f aca="true" t="shared" si="33" ref="B64:N64">B60*B62</f>
        <v>-101.8763956959609</v>
      </c>
      <c r="C64">
        <f t="shared" si="33"/>
        <v>-185.99745181946267</v>
      </c>
      <c r="D64">
        <f t="shared" si="33"/>
        <v>-189.8764555138724</v>
      </c>
      <c r="E64">
        <f t="shared" si="33"/>
        <v>-143.43946157730218</v>
      </c>
      <c r="F64">
        <f t="shared" si="33"/>
        <v>-103.61237725445847</v>
      </c>
      <c r="G64">
        <f t="shared" si="33"/>
        <v>-69.93896412154477</v>
      </c>
      <c r="H64">
        <f t="shared" si="33"/>
        <v>-40.02313144845875</v>
      </c>
      <c r="I64">
        <f t="shared" si="33"/>
        <v>-17.64985418663288</v>
      </c>
      <c r="J64">
        <f t="shared" si="33"/>
        <v>-1.2336391794782648</v>
      </c>
      <c r="K64">
        <f t="shared" si="33"/>
        <v>10.507070641271932</v>
      </c>
      <c r="L64">
        <f t="shared" si="33"/>
        <v>18.605571557666085</v>
      </c>
      <c r="M64">
        <f t="shared" si="33"/>
        <v>23.892504833249127</v>
      </c>
      <c r="N64">
        <f t="shared" si="33"/>
        <v>26.073370852300396</v>
      </c>
    </row>
    <row r="65" spans="1:4" ht="12.75">
      <c r="A65" t="s">
        <v>46</v>
      </c>
      <c r="B65">
        <f>B10*B62</f>
        <v>82.15838362577492</v>
      </c>
      <c r="C65">
        <f>C10*C62</f>
        <v>68.46531968814577</v>
      </c>
      <c r="D65">
        <f>D10*D62</f>
        <v>28.527216536727405</v>
      </c>
    </row>
    <row r="66" spans="1:4" ht="12.75">
      <c r="A66" t="s">
        <v>47</v>
      </c>
      <c r="B66">
        <f>B65</f>
        <v>82.15838362577492</v>
      </c>
      <c r="C66">
        <f>B66+C65</f>
        <v>150.62370331392069</v>
      </c>
      <c r="D66">
        <f>C66+D65</f>
        <v>179.15091985064808</v>
      </c>
    </row>
    <row r="67" spans="1:14" ht="12.75">
      <c r="A67" t="s">
        <v>48</v>
      </c>
      <c r="N67">
        <f>N64</f>
        <v>26.073370852300396</v>
      </c>
    </row>
    <row r="68" spans="1:14" ht="12.75">
      <c r="A68" t="s">
        <v>49</v>
      </c>
      <c r="N68">
        <f>N67/D66</f>
        <v>0.1455385820739121</v>
      </c>
    </row>
    <row r="69" spans="1:14" ht="12.75">
      <c r="A69" t="s">
        <v>50</v>
      </c>
      <c r="N69">
        <v>6.129</v>
      </c>
    </row>
    <row r="71" spans="1:14" ht="12.75">
      <c r="A71" t="s">
        <v>43</v>
      </c>
      <c r="B71">
        <f>1/POWER(1.15,0.5)</f>
        <v>0.9325048082403138</v>
      </c>
      <c r="C71">
        <f>1/POWER(1.15,1.5)</f>
        <v>0.8108737462959251</v>
      </c>
      <c r="D71">
        <f>1/POWER(1.15,2.5)</f>
        <v>0.7051076054747175</v>
      </c>
      <c r="E71">
        <f>1/POWER(1.15,3.5)</f>
        <v>0.6131370482388848</v>
      </c>
      <c r="F71">
        <f>1/POWER(1.15,4.5)</f>
        <v>0.5331626506425087</v>
      </c>
      <c r="G71">
        <f>1/POWER(1.15,5.5)</f>
        <v>0.4636196962108771</v>
      </c>
      <c r="H71">
        <f>1/POWER(1.15,6.5)</f>
        <v>0.40314756192250184</v>
      </c>
      <c r="I71">
        <f>1/POWER(1.15,7.5)</f>
        <v>0.35056309732391466</v>
      </c>
      <c r="J71">
        <f>1/POWER(1.15,8.5)</f>
        <v>0.30483747593383886</v>
      </c>
      <c r="K71">
        <f>1/POWER(1.15,9.5)</f>
        <v>0.26507606602942513</v>
      </c>
      <c r="L71">
        <f>1/POWER(1.15,10.5)</f>
        <v>0.23050092698210878</v>
      </c>
      <c r="M71">
        <f>1/POWER(1.15,11.5)</f>
        <v>0.20043558868009465</v>
      </c>
      <c r="N71">
        <f>1/POWER(1.15,12.5)</f>
        <v>0.17429181624356058</v>
      </c>
    </row>
    <row r="72" spans="1:14" ht="12.75">
      <c r="A72" t="s">
        <v>44</v>
      </c>
      <c r="B72">
        <f aca="true" t="shared" si="34" ref="B72:N72">B59*B71</f>
        <v>-104.06753659961902</v>
      </c>
      <c r="C72">
        <f t="shared" si="34"/>
        <v>-107.76512088272845</v>
      </c>
      <c r="D72">
        <f t="shared" si="34"/>
        <v>-38.79424436478123</v>
      </c>
      <c r="E72">
        <f t="shared" si="34"/>
        <v>17.166709178520026</v>
      </c>
      <c r="F72">
        <f t="shared" si="34"/>
        <v>19.281118793956104</v>
      </c>
      <c r="G72">
        <f t="shared" si="34"/>
        <v>20.731302542083764</v>
      </c>
      <c r="H72">
        <f t="shared" si="34"/>
        <v>24.078375363650522</v>
      </c>
      <c r="I72">
        <f t="shared" si="34"/>
        <v>21.60734504649696</v>
      </c>
      <c r="J72">
        <f t="shared" si="34"/>
        <v>19.347459599814247</v>
      </c>
      <c r="K72">
        <f t="shared" si="34"/>
        <v>17.282789558370432</v>
      </c>
      <c r="L72">
        <f t="shared" si="34"/>
        <v>15.399189118996878</v>
      </c>
      <c r="M72">
        <f t="shared" si="34"/>
        <v>13.683917127984515</v>
      </c>
      <c r="N72">
        <f t="shared" si="34"/>
        <v>10.491346398877173</v>
      </c>
    </row>
    <row r="73" spans="1:14" ht="12.75">
      <c r="A73" t="s">
        <v>45</v>
      </c>
      <c r="B73">
        <f aca="true" t="shared" si="35" ref="B73:N73">B60*B71</f>
        <v>-104.06753659961902</v>
      </c>
      <c r="C73">
        <f t="shared" si="35"/>
        <v>-198.2586309693537</v>
      </c>
      <c r="D73">
        <f t="shared" si="35"/>
        <v>-211.19305390334966</v>
      </c>
      <c r="E73">
        <f t="shared" si="35"/>
        <v>-166.47942465047967</v>
      </c>
      <c r="F73">
        <f t="shared" si="35"/>
        <v>-125.48359829341756</v>
      </c>
      <c r="G73">
        <f t="shared" si="35"/>
        <v>-88.38486988697498</v>
      </c>
      <c r="H73">
        <f t="shared" si="35"/>
        <v>-52.77803323371902</v>
      </c>
      <c r="I73">
        <f t="shared" si="35"/>
        <v>-24.286596895867408</v>
      </c>
      <c r="J73">
        <f t="shared" si="35"/>
        <v>-1.7713203096356727</v>
      </c>
      <c r="K73">
        <f t="shared" si="35"/>
        <v>15.742511028252455</v>
      </c>
      <c r="L73">
        <f t="shared" si="35"/>
        <v>29.088329143564227</v>
      </c>
      <c r="M73">
        <f t="shared" si="35"/>
        <v>38.97811638325776</v>
      </c>
      <c r="N73">
        <f t="shared" si="35"/>
        <v>44.38536064518827</v>
      </c>
    </row>
    <row r="74" spans="1:4" ht="12.75">
      <c r="A74" t="s">
        <v>46</v>
      </c>
      <c r="B74">
        <f>B10*B71</f>
        <v>83.92543274162824</v>
      </c>
      <c r="C74">
        <f>C10*C71</f>
        <v>72.97863716663326</v>
      </c>
      <c r="D74">
        <f>D10*D71</f>
        <v>31.72984224636229</v>
      </c>
    </row>
    <row r="75" spans="1:4" ht="12.75">
      <c r="A75" t="s">
        <v>47</v>
      </c>
      <c r="B75">
        <f>B74</f>
        <v>83.92543274162824</v>
      </c>
      <c r="C75">
        <f>B75+C74</f>
        <v>156.9040699082615</v>
      </c>
      <c r="D75">
        <f>C75+D74</f>
        <v>188.6339121546238</v>
      </c>
    </row>
    <row r="76" spans="1:14" ht="12.75">
      <c r="A76" t="s">
        <v>48</v>
      </c>
      <c r="N76">
        <f>N73</f>
        <v>44.38536064518827</v>
      </c>
    </row>
    <row r="77" spans="1:14" ht="12.75">
      <c r="A77" t="s">
        <v>49</v>
      </c>
      <c r="N77">
        <f>N76/D75</f>
        <v>0.23529894565726578</v>
      </c>
    </row>
    <row r="78" ht="12.75">
      <c r="A78" t="s">
        <v>50</v>
      </c>
    </row>
    <row r="80" spans="1:14" ht="12.75">
      <c r="A80" t="s">
        <v>43</v>
      </c>
      <c r="B80">
        <f>1/POWER(1.25,0.5)</f>
        <v>0.8944271909999159</v>
      </c>
      <c r="C80">
        <f>1/POWER(1.25,1.5)</f>
        <v>0.7155417527999327</v>
      </c>
      <c r="D80">
        <f>1/POWER(1.25,2.5)</f>
        <v>0.5724334022399462</v>
      </c>
      <c r="E80">
        <f>1/POWER(1.25,3.5)</f>
        <v>0.4579467217919569</v>
      </c>
      <c r="F80">
        <f>1/POWER(1.25,4.5)</f>
        <v>0.36635737743356556</v>
      </c>
      <c r="G80">
        <f>1/POWER(1.25,5.5)</f>
        <v>0.29308590194685247</v>
      </c>
      <c r="H80">
        <f>1/POWER(1.25,6.5)</f>
        <v>0.2344687215574819</v>
      </c>
      <c r="I80">
        <f>1/POWER(1.25,7.5)</f>
        <v>0.18757497724598554</v>
      </c>
      <c r="J80">
        <f>1/POWER(1.25,8.5)</f>
        <v>0.15005998179678842</v>
      </c>
      <c r="K80">
        <f>1/POWER(1.25,9.5)</f>
        <v>0.12004798543743075</v>
      </c>
      <c r="L80">
        <f>1/POWER(1.25,10.5)</f>
        <v>0.09603838834994462</v>
      </c>
      <c r="M80">
        <f>1/POWER(1.25,11.5)</f>
        <v>0.0768307106799557</v>
      </c>
      <c r="N80">
        <f>1/POWER(1.25,12.5)</f>
        <v>0.06146456854396452</v>
      </c>
    </row>
    <row r="81" spans="1:14" ht="12.75">
      <c r="A81" t="s">
        <v>44</v>
      </c>
      <c r="B81">
        <f aca="true" t="shared" si="36" ref="B81:N81">B59*B80</f>
        <v>-99.81807451559061</v>
      </c>
      <c r="C81">
        <f t="shared" si="36"/>
        <v>-95.09549894711105</v>
      </c>
      <c r="D81">
        <f t="shared" si="36"/>
        <v>-31.49465573287713</v>
      </c>
      <c r="E81">
        <f t="shared" si="36"/>
        <v>12.821665588206704</v>
      </c>
      <c r="F81">
        <f t="shared" si="36"/>
        <v>13.248827739201731</v>
      </c>
      <c r="G81">
        <f t="shared" si="36"/>
        <v>13.105682424061653</v>
      </c>
      <c r="H81">
        <f t="shared" si="36"/>
        <v>14.0038696049006</v>
      </c>
      <c r="I81">
        <f t="shared" si="36"/>
        <v>11.561391619317881</v>
      </c>
      <c r="J81">
        <f t="shared" si="36"/>
        <v>9.524023994977394</v>
      </c>
      <c r="K81">
        <f t="shared" si="36"/>
        <v>7.827051684821374</v>
      </c>
      <c r="L81">
        <f t="shared" si="36"/>
        <v>6.4160839795635844</v>
      </c>
      <c r="M81">
        <f t="shared" si="36"/>
        <v>5.2453014195331775</v>
      </c>
      <c r="N81">
        <f t="shared" si="36"/>
        <v>3.699806988935925</v>
      </c>
    </row>
    <row r="82" spans="1:14" ht="12.75">
      <c r="A82" t="s">
        <v>45</v>
      </c>
      <c r="B82">
        <f aca="true" t="shared" si="37" ref="B82:N82">B60*B80</f>
        <v>-99.81807451559061</v>
      </c>
      <c r="C82">
        <f t="shared" si="37"/>
        <v>-174.94995855958354</v>
      </c>
      <c r="D82">
        <f t="shared" si="37"/>
        <v>-171.45462258054397</v>
      </c>
      <c r="E82">
        <f t="shared" si="37"/>
        <v>-124.34203247622844</v>
      </c>
      <c r="F82">
        <f t="shared" si="37"/>
        <v>-86.22479824178104</v>
      </c>
      <c r="G82">
        <f t="shared" si="37"/>
        <v>-55.874156169363175</v>
      </c>
      <c r="H82">
        <f t="shared" si="37"/>
        <v>-30.695455330589926</v>
      </c>
      <c r="I82">
        <f t="shared" si="37"/>
        <v>-12.99497264515406</v>
      </c>
      <c r="J82">
        <f t="shared" si="37"/>
        <v>-0.8719541211458534</v>
      </c>
      <c r="K82">
        <f t="shared" si="37"/>
        <v>7.129488387904692</v>
      </c>
      <c r="L82">
        <f t="shared" si="37"/>
        <v>12.119674689887338</v>
      </c>
      <c r="M82">
        <f t="shared" si="37"/>
        <v>14.941041171443048</v>
      </c>
      <c r="N82">
        <f t="shared" si="37"/>
        <v>15.652639926090357</v>
      </c>
    </row>
    <row r="83" spans="1:4" ht="12.75">
      <c r="A83" t="s">
        <v>46</v>
      </c>
      <c r="B83">
        <f>B10*B80</f>
        <v>80.49844718999243</v>
      </c>
      <c r="C83">
        <f>C10*C80</f>
        <v>64.39875775199394</v>
      </c>
      <c r="D83">
        <f>D10*D80</f>
        <v>25.75950310079758</v>
      </c>
    </row>
    <row r="84" spans="1:4" ht="12.75">
      <c r="A84" t="s">
        <v>47</v>
      </c>
      <c r="B84">
        <f>B83</f>
        <v>80.49844718999243</v>
      </c>
      <c r="C84">
        <f>B84+C83</f>
        <v>144.8972049419864</v>
      </c>
      <c r="D84">
        <f>C84+D83</f>
        <v>170.65670804278398</v>
      </c>
    </row>
    <row r="85" spans="1:14" ht="12.75">
      <c r="A85" t="s">
        <v>48</v>
      </c>
      <c r="N85">
        <f>N82</f>
        <v>15.652639926090357</v>
      </c>
    </row>
    <row r="86" spans="1:14" ht="12.75">
      <c r="A86" t="s">
        <v>49</v>
      </c>
      <c r="N86">
        <f>N85/D84</f>
        <v>0.09172003905153385</v>
      </c>
    </row>
    <row r="87" ht="12.75">
      <c r="A87" t="s">
        <v>50</v>
      </c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93"/>
  <sheetViews>
    <sheetView zoomScalePageLayoutView="0" workbookViewId="0" topLeftCell="A70">
      <selection activeCell="H97" sqref="H97"/>
    </sheetView>
  </sheetViews>
  <sheetFormatPr defaultColWidth="9.00390625" defaultRowHeight="12.75"/>
  <sheetData>
    <row r="3" ht="12.75">
      <c r="A3" t="s">
        <v>1</v>
      </c>
    </row>
    <row r="5" spans="1:14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</row>
    <row r="6" ht="12.75">
      <c r="A6" t="s">
        <v>16</v>
      </c>
    </row>
    <row r="7" spans="1:14" ht="12.75">
      <c r="A7" t="s">
        <v>17</v>
      </c>
      <c r="B7">
        <v>0</v>
      </c>
      <c r="C7">
        <v>0</v>
      </c>
      <c r="D7">
        <v>200</v>
      </c>
      <c r="E7">
        <v>300</v>
      </c>
      <c r="F7">
        <f aca="true" t="shared" si="0" ref="F7:N7">E7</f>
        <v>300</v>
      </c>
      <c r="G7">
        <f t="shared" si="0"/>
        <v>300</v>
      </c>
      <c r="H7">
        <f t="shared" si="0"/>
        <v>300</v>
      </c>
      <c r="I7">
        <f t="shared" si="0"/>
        <v>300</v>
      </c>
      <c r="J7">
        <f t="shared" si="0"/>
        <v>300</v>
      </c>
      <c r="K7">
        <f t="shared" si="0"/>
        <v>300</v>
      </c>
      <c r="L7">
        <f t="shared" si="0"/>
        <v>300</v>
      </c>
      <c r="M7">
        <f t="shared" si="0"/>
        <v>300</v>
      </c>
      <c r="N7">
        <f t="shared" si="0"/>
        <v>300</v>
      </c>
    </row>
    <row r="8" spans="1:14" ht="12.75">
      <c r="A8" t="s">
        <v>18</v>
      </c>
      <c r="B8">
        <v>0</v>
      </c>
      <c r="C8">
        <v>0</v>
      </c>
      <c r="D8">
        <v>70</v>
      </c>
      <c r="E8">
        <v>100</v>
      </c>
      <c r="F8">
        <f aca="true" t="shared" si="1" ref="F8:N8">E8</f>
        <v>100</v>
      </c>
      <c r="G8">
        <f t="shared" si="1"/>
        <v>100</v>
      </c>
      <c r="H8">
        <f t="shared" si="1"/>
        <v>100</v>
      </c>
      <c r="I8">
        <f t="shared" si="1"/>
        <v>100</v>
      </c>
      <c r="J8">
        <f t="shared" si="1"/>
        <v>100</v>
      </c>
      <c r="K8">
        <f t="shared" si="1"/>
        <v>100</v>
      </c>
      <c r="L8">
        <f t="shared" si="1"/>
        <v>100</v>
      </c>
      <c r="M8">
        <f t="shared" si="1"/>
        <v>100</v>
      </c>
      <c r="N8">
        <f t="shared" si="1"/>
        <v>100</v>
      </c>
    </row>
    <row r="9" spans="1:14" ht="12.75">
      <c r="A9" t="s">
        <v>19</v>
      </c>
      <c r="B9">
        <v>0</v>
      </c>
      <c r="C9">
        <v>0</v>
      </c>
      <c r="D9">
        <v>100</v>
      </c>
      <c r="E9">
        <v>150</v>
      </c>
      <c r="F9">
        <f aca="true" t="shared" si="2" ref="F9:N9">E9</f>
        <v>150</v>
      </c>
      <c r="G9">
        <f t="shared" si="2"/>
        <v>150</v>
      </c>
      <c r="H9">
        <f t="shared" si="2"/>
        <v>150</v>
      </c>
      <c r="I9">
        <f t="shared" si="2"/>
        <v>150</v>
      </c>
      <c r="J9">
        <f t="shared" si="2"/>
        <v>150</v>
      </c>
      <c r="K9">
        <f t="shared" si="2"/>
        <v>150</v>
      </c>
      <c r="L9">
        <f t="shared" si="2"/>
        <v>150</v>
      </c>
      <c r="M9">
        <f t="shared" si="2"/>
        <v>150</v>
      </c>
      <c r="N9">
        <f t="shared" si="2"/>
        <v>150</v>
      </c>
    </row>
    <row r="10" spans="1:4" ht="12.75">
      <c r="A10" t="s">
        <v>20</v>
      </c>
      <c r="B10">
        <v>110</v>
      </c>
      <c r="C10">
        <v>110</v>
      </c>
      <c r="D10">
        <v>55</v>
      </c>
    </row>
    <row r="11" spans="1:8" ht="12.75">
      <c r="A11" t="s">
        <v>21</v>
      </c>
      <c r="B11">
        <f>B10</f>
        <v>110</v>
      </c>
      <c r="C11">
        <f>B11+C10</f>
        <v>220</v>
      </c>
      <c r="D11">
        <f>C11+D10</f>
        <v>275</v>
      </c>
      <c r="E11">
        <f>D11-E49+E50</f>
        <v>233.926</v>
      </c>
      <c r="F11">
        <f>E11-F49+F50</f>
        <v>189.9768200000001</v>
      </c>
      <c r="G11">
        <f>F11-G49+G50</f>
        <v>143.1709433000001</v>
      </c>
      <c r="H11">
        <v>0</v>
      </c>
    </row>
    <row r="12" spans="1:14" ht="12.75">
      <c r="A12" t="s">
        <v>22</v>
      </c>
      <c r="F12">
        <v>1.07</v>
      </c>
      <c r="G12">
        <f aca="true" t="shared" si="3" ref="G12:N12">F12-0.005</f>
        <v>1.0650000000000002</v>
      </c>
      <c r="H12">
        <f t="shared" si="3"/>
        <v>1.0600000000000003</v>
      </c>
      <c r="I12">
        <f t="shared" si="3"/>
        <v>1.0550000000000004</v>
      </c>
      <c r="J12">
        <f t="shared" si="3"/>
        <v>1.0500000000000005</v>
      </c>
      <c r="K12">
        <f t="shared" si="3"/>
        <v>1.0450000000000006</v>
      </c>
      <c r="L12">
        <f t="shared" si="3"/>
        <v>1.0400000000000007</v>
      </c>
      <c r="M12">
        <f t="shared" si="3"/>
        <v>1.0350000000000008</v>
      </c>
      <c r="N12">
        <f t="shared" si="3"/>
        <v>1.030000000000001</v>
      </c>
    </row>
    <row r="13" ht="12.75">
      <c r="A13" t="s">
        <v>23</v>
      </c>
    </row>
    <row r="14" spans="1:14" ht="12.75">
      <c r="A14" t="s">
        <v>17</v>
      </c>
      <c r="D14">
        <f>E14*D7/E7</f>
        <v>21.426666666666666</v>
      </c>
      <c r="E14">
        <v>32.14</v>
      </c>
      <c r="F14">
        <f>E14*$F$12</f>
        <v>34.3898</v>
      </c>
      <c r="G14">
        <f>F14*$G$12</f>
        <v>36.62513700000001</v>
      </c>
      <c r="H14">
        <f>G14*$H$12</f>
        <v>38.82264522000002</v>
      </c>
      <c r="I14">
        <f>H14*$I$12</f>
        <v>40.957890707100034</v>
      </c>
      <c r="J14">
        <f>I14*$J$12</f>
        <v>43.005785242455055</v>
      </c>
      <c r="K14">
        <f>J14*$K$12</f>
        <v>44.94104557836556</v>
      </c>
      <c r="L14">
        <f>K14*$L$12</f>
        <v>46.738687401500215</v>
      </c>
      <c r="M14">
        <f>L14*$M$12</f>
        <v>48.37454146055276</v>
      </c>
      <c r="N14">
        <f>M14*$N$12</f>
        <v>49.82577770436939</v>
      </c>
    </row>
    <row r="15" spans="1:14" ht="12.75">
      <c r="A15" t="s">
        <v>18</v>
      </c>
      <c r="D15">
        <f>E15*D8/E8</f>
        <v>13.503</v>
      </c>
      <c r="E15">
        <v>19.29</v>
      </c>
      <c r="F15">
        <f>E15*$F$12</f>
        <v>20.6403</v>
      </c>
      <c r="G15">
        <f>F15*$G$12</f>
        <v>21.981919500000004</v>
      </c>
      <c r="H15">
        <f>G15*$H$12</f>
        <v>23.30083467000001</v>
      </c>
      <c r="I15">
        <f>H15*$I$12</f>
        <v>24.58238057685002</v>
      </c>
      <c r="J15">
        <f>I15*$J$12</f>
        <v>25.811499605692532</v>
      </c>
      <c r="K15">
        <f>J15*$K$12</f>
        <v>26.973017087948712</v>
      </c>
      <c r="L15">
        <f>K15*$L$12</f>
        <v>28.05193777146668</v>
      </c>
      <c r="M15">
        <f>L15*$M$12</f>
        <v>29.033755593468037</v>
      </c>
      <c r="N15">
        <f>M15*$N$12</f>
        <v>29.904768261272103</v>
      </c>
    </row>
    <row r="16" spans="1:14" ht="12.75">
      <c r="A16" t="s">
        <v>19</v>
      </c>
      <c r="D16">
        <f>E16*D9/E9</f>
        <v>18.58</v>
      </c>
      <c r="E16">
        <v>27.87</v>
      </c>
      <c r="F16">
        <f>E16*$F$12</f>
        <v>29.8209</v>
      </c>
      <c r="G16">
        <f>F16*$G$12</f>
        <v>31.75925850000001</v>
      </c>
      <c r="H16">
        <f>G16*$H$12</f>
        <v>33.664814010000015</v>
      </c>
      <c r="I16">
        <f>H16*$I$12</f>
        <v>35.51637878055003</v>
      </c>
      <c r="J16">
        <f>I16*$J$12</f>
        <v>37.292197719577544</v>
      </c>
      <c r="K16">
        <f>J16*$K$12</f>
        <v>38.97034661695856</v>
      </c>
      <c r="L16">
        <f>K16*$L$12</f>
        <v>40.52916048163693</v>
      </c>
      <c r="M16">
        <f>L16*$M$12</f>
        <v>41.94768109849426</v>
      </c>
      <c r="N16">
        <f>M16*$N$12</f>
        <v>43.206111531449125</v>
      </c>
    </row>
    <row r="17" ht="12.75">
      <c r="A17" t="s">
        <v>24</v>
      </c>
    </row>
    <row r="18" spans="1:14" ht="12.75">
      <c r="A18" t="s">
        <v>17</v>
      </c>
      <c r="D18">
        <f>E18*D7/E7</f>
        <v>50</v>
      </c>
      <c r="E18">
        <f>75</f>
        <v>75</v>
      </c>
      <c r="F18">
        <f>E18*$F$12</f>
        <v>80.25</v>
      </c>
      <c r="G18">
        <f>F18*$G$12</f>
        <v>85.46625000000002</v>
      </c>
      <c r="H18">
        <f>G18*$H$12</f>
        <v>90.59422500000004</v>
      </c>
      <c r="I18">
        <f>H18*$I$12</f>
        <v>95.57690737500008</v>
      </c>
      <c r="J18">
        <f>I18*$J$12</f>
        <v>100.35575274375013</v>
      </c>
      <c r="K18">
        <f>J18*$K$12</f>
        <v>104.87176161721895</v>
      </c>
      <c r="L18">
        <f>K18*$L$12</f>
        <v>109.06663208190778</v>
      </c>
      <c r="M18">
        <f>L18*$M$12</f>
        <v>112.88396420477464</v>
      </c>
      <c r="N18">
        <f>M18*$N$12</f>
        <v>116.27048313091798</v>
      </c>
    </row>
    <row r="19" spans="1:14" ht="12.75">
      <c r="A19" t="s">
        <v>18</v>
      </c>
      <c r="D19">
        <f>E19*D8/E8</f>
        <v>31.5</v>
      </c>
      <c r="E19">
        <f>45</f>
        <v>45</v>
      </c>
      <c r="F19">
        <f>E19*$F$12</f>
        <v>48.150000000000006</v>
      </c>
      <c r="G19">
        <f>F19*$G$12</f>
        <v>51.279750000000014</v>
      </c>
      <c r="H19">
        <f>G19*$H$12</f>
        <v>54.35653500000003</v>
      </c>
      <c r="I19">
        <f>H19*$I$12</f>
        <v>57.34614442500005</v>
      </c>
      <c r="J19">
        <f>I19*$J$12</f>
        <v>60.21345164625008</v>
      </c>
      <c r="K19">
        <f>J19*$K$12</f>
        <v>62.923056970331366</v>
      </c>
      <c r="L19">
        <f>K19*$L$12</f>
        <v>65.43997924914467</v>
      </c>
      <c r="M19">
        <f>L19*$M$12</f>
        <v>67.73037852286478</v>
      </c>
      <c r="N19">
        <f>M19*$N$12</f>
        <v>69.76228987855079</v>
      </c>
    </row>
    <row r="20" spans="1:14" ht="12.75">
      <c r="A20" t="s">
        <v>19</v>
      </c>
      <c r="D20">
        <f>E20*D9/E9</f>
        <v>43.333333333333336</v>
      </c>
      <c r="E20">
        <f>65</f>
        <v>65</v>
      </c>
      <c r="F20">
        <f>E20*$F$12</f>
        <v>69.55</v>
      </c>
      <c r="G20">
        <f>F20*$G$12</f>
        <v>74.07075</v>
      </c>
      <c r="H20">
        <f>G20*$H$12</f>
        <v>78.51499500000003</v>
      </c>
      <c r="I20">
        <f>H20*$I$12</f>
        <v>82.83331972500005</v>
      </c>
      <c r="J20">
        <f>I20*$J$12</f>
        <v>86.9749857112501</v>
      </c>
      <c r="K20">
        <f>J20*$K$12</f>
        <v>90.8888600682564</v>
      </c>
      <c r="L20">
        <f>K20*$L$12</f>
        <v>94.52441447098673</v>
      </c>
      <c r="M20">
        <f>L20*$M$12</f>
        <v>97.83276897747133</v>
      </c>
      <c r="N20">
        <f>M20*$N$12</f>
        <v>100.76775204679556</v>
      </c>
    </row>
    <row r="21" ht="12.75">
      <c r="A21" t="s">
        <v>25</v>
      </c>
    </row>
    <row r="22" spans="1:14" ht="12.75">
      <c r="A22" t="s">
        <v>17</v>
      </c>
      <c r="D22">
        <f aca="true" t="shared" si="4" ref="D22:N22">D18*1000/D7</f>
        <v>250</v>
      </c>
      <c r="E22">
        <f t="shared" si="4"/>
        <v>250</v>
      </c>
      <c r="F22">
        <f t="shared" si="4"/>
        <v>267.5</v>
      </c>
      <c r="G22">
        <f t="shared" si="4"/>
        <v>284.88750000000005</v>
      </c>
      <c r="H22">
        <f t="shared" si="4"/>
        <v>301.9807500000001</v>
      </c>
      <c r="I22">
        <f t="shared" si="4"/>
        <v>318.58969125000027</v>
      </c>
      <c r="J22">
        <f t="shared" si="4"/>
        <v>334.5191758125004</v>
      </c>
      <c r="K22">
        <f t="shared" si="4"/>
        <v>349.5725387240631</v>
      </c>
      <c r="L22">
        <f t="shared" si="4"/>
        <v>363.5554402730259</v>
      </c>
      <c r="M22">
        <f t="shared" si="4"/>
        <v>376.27988068258213</v>
      </c>
      <c r="N22">
        <f t="shared" si="4"/>
        <v>387.5682771030599</v>
      </c>
    </row>
    <row r="23" spans="1:14" ht="12.75">
      <c r="A23" t="s">
        <v>18</v>
      </c>
      <c r="D23">
        <f aca="true" t="shared" si="5" ref="D23:N23">D19*1000/D8</f>
        <v>450</v>
      </c>
      <c r="E23">
        <f t="shared" si="5"/>
        <v>450</v>
      </c>
      <c r="F23">
        <f t="shared" si="5"/>
        <v>481.50000000000006</v>
      </c>
      <c r="G23">
        <f t="shared" si="5"/>
        <v>512.7975000000001</v>
      </c>
      <c r="H23">
        <f t="shared" si="5"/>
        <v>543.5653500000003</v>
      </c>
      <c r="I23">
        <f t="shared" si="5"/>
        <v>573.4614442500005</v>
      </c>
      <c r="J23">
        <f t="shared" si="5"/>
        <v>602.1345164625008</v>
      </c>
      <c r="K23">
        <f t="shared" si="5"/>
        <v>629.2305697033137</v>
      </c>
      <c r="L23">
        <f t="shared" si="5"/>
        <v>654.3997924914468</v>
      </c>
      <c r="M23">
        <f t="shared" si="5"/>
        <v>677.3037852286477</v>
      </c>
      <c r="N23">
        <f t="shared" si="5"/>
        <v>697.6228987855079</v>
      </c>
    </row>
    <row r="24" spans="1:14" ht="12.75">
      <c r="A24" t="s">
        <v>19</v>
      </c>
      <c r="D24">
        <f aca="true" t="shared" si="6" ref="D24:N24">D20*1000/D9</f>
        <v>433.33333333333337</v>
      </c>
      <c r="E24">
        <f t="shared" si="6"/>
        <v>433.3333333333333</v>
      </c>
      <c r="F24">
        <f t="shared" si="6"/>
        <v>463.6666666666667</v>
      </c>
      <c r="G24">
        <f t="shared" si="6"/>
        <v>493.805</v>
      </c>
      <c r="H24">
        <f t="shared" si="6"/>
        <v>523.4333000000001</v>
      </c>
      <c r="I24">
        <f t="shared" si="6"/>
        <v>552.2221315000004</v>
      </c>
      <c r="J24">
        <f t="shared" si="6"/>
        <v>579.8332380750007</v>
      </c>
      <c r="K24">
        <f t="shared" si="6"/>
        <v>605.925733788376</v>
      </c>
      <c r="L24">
        <f t="shared" si="6"/>
        <v>630.1627631399115</v>
      </c>
      <c r="M24">
        <f t="shared" si="6"/>
        <v>652.2184598498089</v>
      </c>
      <c r="N24">
        <f t="shared" si="6"/>
        <v>671.7850136453037</v>
      </c>
    </row>
    <row r="25" ht="12.75">
      <c r="A25" t="s">
        <v>26</v>
      </c>
    </row>
    <row r="26" spans="1:14" ht="12.75">
      <c r="A26" t="s">
        <v>17</v>
      </c>
      <c r="D26">
        <f aca="true" t="shared" si="7" ref="D26:N26">D14+D18</f>
        <v>71.42666666666666</v>
      </c>
      <c r="E26">
        <f t="shared" si="7"/>
        <v>107.14</v>
      </c>
      <c r="F26">
        <f t="shared" si="7"/>
        <v>114.63980000000001</v>
      </c>
      <c r="G26">
        <f t="shared" si="7"/>
        <v>122.09138700000003</v>
      </c>
      <c r="H26">
        <f t="shared" si="7"/>
        <v>129.41687022000005</v>
      </c>
      <c r="I26">
        <f t="shared" si="7"/>
        <v>136.5347980821001</v>
      </c>
      <c r="J26">
        <f t="shared" si="7"/>
        <v>143.36153798620518</v>
      </c>
      <c r="K26">
        <f t="shared" si="7"/>
        <v>149.81280719558453</v>
      </c>
      <c r="L26">
        <f t="shared" si="7"/>
        <v>155.805319483408</v>
      </c>
      <c r="M26">
        <f t="shared" si="7"/>
        <v>161.2585056653274</v>
      </c>
      <c r="N26">
        <f t="shared" si="7"/>
        <v>166.09626083528738</v>
      </c>
    </row>
    <row r="27" spans="1:14" ht="12.75">
      <c r="A27" t="s">
        <v>18</v>
      </c>
      <c r="D27">
        <f aca="true" t="shared" si="8" ref="D27:N27">D15+D19</f>
        <v>45.003</v>
      </c>
      <c r="E27">
        <f t="shared" si="8"/>
        <v>64.28999999999999</v>
      </c>
      <c r="F27">
        <f t="shared" si="8"/>
        <v>68.7903</v>
      </c>
      <c r="G27">
        <f t="shared" si="8"/>
        <v>73.26166950000001</v>
      </c>
      <c r="H27">
        <f t="shared" si="8"/>
        <v>77.65736967000004</v>
      </c>
      <c r="I27">
        <f t="shared" si="8"/>
        <v>81.92852500185006</v>
      </c>
      <c r="J27">
        <f t="shared" si="8"/>
        <v>86.02495125194261</v>
      </c>
      <c r="K27">
        <f t="shared" si="8"/>
        <v>89.89607405828008</v>
      </c>
      <c r="L27">
        <f t="shared" si="8"/>
        <v>93.49191702061135</v>
      </c>
      <c r="M27">
        <f t="shared" si="8"/>
        <v>96.76413411633283</v>
      </c>
      <c r="N27">
        <f t="shared" si="8"/>
        <v>99.6670581398229</v>
      </c>
    </row>
    <row r="28" spans="1:15" ht="12.75">
      <c r="A28" t="s">
        <v>19</v>
      </c>
      <c r="D28">
        <f aca="true" t="shared" si="9" ref="D28:N28">D16+D20</f>
        <v>61.913333333333334</v>
      </c>
      <c r="E28">
        <f t="shared" si="9"/>
        <v>92.87</v>
      </c>
      <c r="F28">
        <f t="shared" si="9"/>
        <v>99.3709</v>
      </c>
      <c r="G28">
        <f t="shared" si="9"/>
        <v>105.83000850000002</v>
      </c>
      <c r="H28">
        <f t="shared" si="9"/>
        <v>112.17980901000004</v>
      </c>
      <c r="I28">
        <f t="shared" si="9"/>
        <v>118.34969850555008</v>
      </c>
      <c r="J28">
        <f t="shared" si="9"/>
        <v>124.26718343082764</v>
      </c>
      <c r="K28">
        <f t="shared" si="9"/>
        <v>129.85920668521496</v>
      </c>
      <c r="L28">
        <f t="shared" si="9"/>
        <v>135.05357495262365</v>
      </c>
      <c r="M28">
        <f t="shared" si="9"/>
        <v>139.78045007596558</v>
      </c>
      <c r="N28">
        <f t="shared" si="9"/>
        <v>143.97386357824467</v>
      </c>
      <c r="O28">
        <f>SUM(D26:N28)</f>
        <v>3597.806979965179</v>
      </c>
    </row>
    <row r="29" ht="12.75">
      <c r="A29" t="s">
        <v>27</v>
      </c>
    </row>
    <row r="30" spans="1:14" ht="12.75">
      <c r="A30" t="s">
        <v>17</v>
      </c>
      <c r="D30">
        <f aca="true" t="shared" si="10" ref="D30:N30">D26/(D26+D27+D28)*100</f>
        <v>40.05016550504739</v>
      </c>
      <c r="E30">
        <f t="shared" si="10"/>
        <v>40.53726825576996</v>
      </c>
      <c r="F30">
        <f t="shared" si="10"/>
        <v>40.53726825576995</v>
      </c>
      <c r="G30">
        <f t="shared" si="10"/>
        <v>40.53726825576996</v>
      </c>
      <c r="H30">
        <f t="shared" si="10"/>
        <v>40.53726825576995</v>
      </c>
      <c r="I30">
        <f t="shared" si="10"/>
        <v>40.537268255769966</v>
      </c>
      <c r="J30">
        <f t="shared" si="10"/>
        <v>40.53726825576996</v>
      </c>
      <c r="K30">
        <f t="shared" si="10"/>
        <v>40.53726825576997</v>
      </c>
      <c r="L30">
        <f t="shared" si="10"/>
        <v>40.537268255769966</v>
      </c>
      <c r="M30">
        <f t="shared" si="10"/>
        <v>40.53726825576996</v>
      </c>
      <c r="N30">
        <f t="shared" si="10"/>
        <v>40.537268255769966</v>
      </c>
    </row>
    <row r="31" spans="1:14" ht="12.75">
      <c r="A31" t="s">
        <v>18</v>
      </c>
      <c r="D31">
        <f aca="true" t="shared" si="11" ref="D31:N31">D27/(D27+D28+D26)*100</f>
        <v>25.233959280711883</v>
      </c>
      <c r="E31">
        <f t="shared" si="11"/>
        <v>24.324631101021563</v>
      </c>
      <c r="F31">
        <f t="shared" si="11"/>
        <v>24.324631101021563</v>
      </c>
      <c r="G31">
        <f t="shared" si="11"/>
        <v>24.324631101021566</v>
      </c>
      <c r="H31">
        <f t="shared" si="11"/>
        <v>24.324631101021566</v>
      </c>
      <c r="I31">
        <f t="shared" si="11"/>
        <v>24.32463110102157</v>
      </c>
      <c r="J31">
        <f t="shared" si="11"/>
        <v>24.32463110102157</v>
      </c>
      <c r="K31">
        <f t="shared" si="11"/>
        <v>24.32463110102157</v>
      </c>
      <c r="L31">
        <f t="shared" si="11"/>
        <v>24.32463110102157</v>
      </c>
      <c r="M31">
        <f t="shared" si="11"/>
        <v>24.32463110102157</v>
      </c>
      <c r="N31">
        <f t="shared" si="11"/>
        <v>24.32463110102157</v>
      </c>
    </row>
    <row r="32" spans="1:14" ht="12.75">
      <c r="A32" t="s">
        <v>19</v>
      </c>
      <c r="D32">
        <f aca="true" t="shared" si="12" ref="D32:N32">D28/(D26+D27+D28)*100</f>
        <v>34.715875214240725</v>
      </c>
      <c r="E32">
        <f t="shared" si="12"/>
        <v>35.138100643208475</v>
      </c>
      <c r="F32">
        <f t="shared" si="12"/>
        <v>35.13810064320847</v>
      </c>
      <c r="G32">
        <f t="shared" si="12"/>
        <v>35.138100643208475</v>
      </c>
      <c r="H32">
        <f t="shared" si="12"/>
        <v>35.13810064320847</v>
      </c>
      <c r="I32">
        <f t="shared" si="12"/>
        <v>35.138100643208475</v>
      </c>
      <c r="J32">
        <f t="shared" si="12"/>
        <v>35.13810064320847</v>
      </c>
      <c r="K32">
        <f t="shared" si="12"/>
        <v>35.13810064320847</v>
      </c>
      <c r="L32">
        <f t="shared" si="12"/>
        <v>35.13810064320847</v>
      </c>
      <c r="M32">
        <f t="shared" si="12"/>
        <v>35.13810064320847</v>
      </c>
      <c r="N32">
        <f t="shared" si="12"/>
        <v>35.13810064320847</v>
      </c>
    </row>
    <row r="33" ht="12.75">
      <c r="A33" t="s">
        <v>28</v>
      </c>
    </row>
    <row r="34" spans="1:14" ht="12.75">
      <c r="A34" t="s">
        <v>17</v>
      </c>
      <c r="D34">
        <f aca="true" t="shared" si="13" ref="D34:N34">D26/D7*1000</f>
        <v>357.1333333333333</v>
      </c>
      <c r="E34">
        <f t="shared" si="13"/>
        <v>357.1333333333334</v>
      </c>
      <c r="F34">
        <f t="shared" si="13"/>
        <v>382.1326666666667</v>
      </c>
      <c r="G34">
        <f t="shared" si="13"/>
        <v>406.9712900000001</v>
      </c>
      <c r="H34">
        <f t="shared" si="13"/>
        <v>431.38956740000015</v>
      </c>
      <c r="I34">
        <f t="shared" si="13"/>
        <v>455.1159936070004</v>
      </c>
      <c r="J34">
        <f t="shared" si="13"/>
        <v>477.87179328735056</v>
      </c>
      <c r="K34">
        <f t="shared" si="13"/>
        <v>499.37602398528173</v>
      </c>
      <c r="L34">
        <f t="shared" si="13"/>
        <v>519.3510649446933</v>
      </c>
      <c r="M34">
        <f t="shared" si="13"/>
        <v>537.528352217758</v>
      </c>
      <c r="N34">
        <f t="shared" si="13"/>
        <v>553.6542027842912</v>
      </c>
    </row>
    <row r="35" spans="1:14" ht="12.75">
      <c r="A35" t="s">
        <v>18</v>
      </c>
      <c r="D35">
        <f aca="true" t="shared" si="14" ref="D35:N35">D27/D8*1000</f>
        <v>642.9</v>
      </c>
      <c r="E35">
        <f t="shared" si="14"/>
        <v>642.8999999999999</v>
      </c>
      <c r="F35">
        <f t="shared" si="14"/>
        <v>687.903</v>
      </c>
      <c r="G35">
        <f t="shared" si="14"/>
        <v>732.6166950000002</v>
      </c>
      <c r="H35">
        <f t="shared" si="14"/>
        <v>776.5736967000004</v>
      </c>
      <c r="I35">
        <f t="shared" si="14"/>
        <v>819.2852500185006</v>
      </c>
      <c r="J35">
        <f t="shared" si="14"/>
        <v>860.249512519426</v>
      </c>
      <c r="K35">
        <f t="shared" si="14"/>
        <v>898.9607405828008</v>
      </c>
      <c r="L35">
        <f t="shared" si="14"/>
        <v>934.9191702061134</v>
      </c>
      <c r="M35">
        <f t="shared" si="14"/>
        <v>967.6413411633282</v>
      </c>
      <c r="N35">
        <f t="shared" si="14"/>
        <v>996.6705813982289</v>
      </c>
    </row>
    <row r="36" spans="1:14" ht="12.75">
      <c r="A36" t="s">
        <v>19</v>
      </c>
      <c r="D36">
        <f aca="true" t="shared" si="15" ref="D36:N36">D28/D9*1000</f>
        <v>619.1333333333333</v>
      </c>
      <c r="E36">
        <f t="shared" si="15"/>
        <v>619.1333333333333</v>
      </c>
      <c r="F36">
        <f t="shared" si="15"/>
        <v>662.4726666666667</v>
      </c>
      <c r="G36">
        <f t="shared" si="15"/>
        <v>705.5333900000002</v>
      </c>
      <c r="H36">
        <f t="shared" si="15"/>
        <v>747.8653934000002</v>
      </c>
      <c r="I36">
        <f t="shared" si="15"/>
        <v>788.9979900370006</v>
      </c>
      <c r="J36">
        <f t="shared" si="15"/>
        <v>828.447889538851</v>
      </c>
      <c r="K36">
        <f t="shared" si="15"/>
        <v>865.7280445680997</v>
      </c>
      <c r="L36">
        <f t="shared" si="15"/>
        <v>900.3571663508243</v>
      </c>
      <c r="M36">
        <f t="shared" si="15"/>
        <v>931.8696671731038</v>
      </c>
      <c r="N36">
        <f t="shared" si="15"/>
        <v>959.8257571882979</v>
      </c>
    </row>
    <row r="37" ht="12.75">
      <c r="A37" t="s">
        <v>29</v>
      </c>
    </row>
    <row r="38" spans="1:14" ht="12.75">
      <c r="A38" t="s">
        <v>17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</row>
    <row r="39" spans="1:14" ht="12.75">
      <c r="A39" t="s">
        <v>18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</row>
    <row r="40" spans="1:14" ht="12.75">
      <c r="A40" t="s">
        <v>19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>
        <v>30</v>
      </c>
      <c r="K40">
        <v>30</v>
      </c>
      <c r="L40">
        <v>30</v>
      </c>
      <c r="M40">
        <v>30</v>
      </c>
      <c r="N40">
        <v>30</v>
      </c>
    </row>
    <row r="41" ht="12.75">
      <c r="A41" t="s">
        <v>30</v>
      </c>
    </row>
    <row r="42" spans="1:14" ht="12.75">
      <c r="A42" t="s">
        <v>17</v>
      </c>
      <c r="D42">
        <f aca="true" t="shared" si="16" ref="D42:N42">D34*(1+D38/100)</f>
        <v>446.41666666666663</v>
      </c>
      <c r="E42">
        <f t="shared" si="16"/>
        <v>446.41666666666674</v>
      </c>
      <c r="F42">
        <f t="shared" si="16"/>
        <v>477.66583333333335</v>
      </c>
      <c r="G42">
        <f t="shared" si="16"/>
        <v>508.71411250000017</v>
      </c>
      <c r="H42">
        <f t="shared" si="16"/>
        <v>539.2369592500002</v>
      </c>
      <c r="I42">
        <f t="shared" si="16"/>
        <v>568.8949920087505</v>
      </c>
      <c r="J42">
        <f t="shared" si="16"/>
        <v>597.3397416091882</v>
      </c>
      <c r="K42">
        <f t="shared" si="16"/>
        <v>624.2200299816021</v>
      </c>
      <c r="L42">
        <f t="shared" si="16"/>
        <v>649.1888311808667</v>
      </c>
      <c r="M42">
        <f t="shared" si="16"/>
        <v>671.9104402721974</v>
      </c>
      <c r="N42">
        <f t="shared" si="16"/>
        <v>692.067753480364</v>
      </c>
    </row>
    <row r="43" spans="1:14" ht="12.75">
      <c r="A43" t="s">
        <v>18</v>
      </c>
      <c r="D43">
        <f aca="true" t="shared" si="17" ref="D43:N43">D35*(1+D39/100)</f>
        <v>771.4799999999999</v>
      </c>
      <c r="E43">
        <f t="shared" si="17"/>
        <v>771.4799999999998</v>
      </c>
      <c r="F43">
        <f t="shared" si="17"/>
        <v>825.4836</v>
      </c>
      <c r="G43">
        <f t="shared" si="17"/>
        <v>879.1400340000001</v>
      </c>
      <c r="H43">
        <f t="shared" si="17"/>
        <v>931.8884360400004</v>
      </c>
      <c r="I43">
        <f t="shared" si="17"/>
        <v>983.1423000222007</v>
      </c>
      <c r="J43">
        <f t="shared" si="17"/>
        <v>1032.2994150233112</v>
      </c>
      <c r="K43">
        <f t="shared" si="17"/>
        <v>1078.752888699361</v>
      </c>
      <c r="L43">
        <f t="shared" si="17"/>
        <v>1121.9030042473362</v>
      </c>
      <c r="M43">
        <f t="shared" si="17"/>
        <v>1161.1696093959938</v>
      </c>
      <c r="N43">
        <f t="shared" si="17"/>
        <v>1196.0046976778747</v>
      </c>
    </row>
    <row r="44" spans="1:14" ht="12.75">
      <c r="A44" t="s">
        <v>19</v>
      </c>
      <c r="D44">
        <f aca="true" t="shared" si="18" ref="D44:N44">D36*(1+D40/100)</f>
        <v>804.8733333333333</v>
      </c>
      <c r="E44">
        <f t="shared" si="18"/>
        <v>804.8733333333333</v>
      </c>
      <c r="F44">
        <f t="shared" si="18"/>
        <v>861.2144666666667</v>
      </c>
      <c r="G44">
        <f t="shared" si="18"/>
        <v>917.1934070000002</v>
      </c>
      <c r="H44">
        <f t="shared" si="18"/>
        <v>972.2250114200003</v>
      </c>
      <c r="I44">
        <f t="shared" si="18"/>
        <v>1025.6973870481008</v>
      </c>
      <c r="J44">
        <f t="shared" si="18"/>
        <v>1076.9822564005062</v>
      </c>
      <c r="K44">
        <f t="shared" si="18"/>
        <v>1125.4464579385296</v>
      </c>
      <c r="L44">
        <f t="shared" si="18"/>
        <v>1170.4643162560717</v>
      </c>
      <c r="M44">
        <f t="shared" si="18"/>
        <v>1211.430567325035</v>
      </c>
      <c r="N44">
        <f t="shared" si="18"/>
        <v>1247.7734843447872</v>
      </c>
    </row>
    <row r="45" ht="12.75">
      <c r="A45" t="s">
        <v>31</v>
      </c>
    </row>
    <row r="46" spans="1:14" ht="12.75">
      <c r="A46" t="s">
        <v>17</v>
      </c>
      <c r="D46">
        <f aca="true" t="shared" si="19" ref="D46:N46">D42*D7/1000</f>
        <v>89.28333333333333</v>
      </c>
      <c r="E46">
        <f t="shared" si="19"/>
        <v>133.92500000000004</v>
      </c>
      <c r="F46">
        <f t="shared" si="19"/>
        <v>143.29975</v>
      </c>
      <c r="G46">
        <f t="shared" si="19"/>
        <v>152.61423375000004</v>
      </c>
      <c r="H46">
        <f t="shared" si="19"/>
        <v>161.77108777500004</v>
      </c>
      <c r="I46">
        <f t="shared" si="19"/>
        <v>170.66849760262514</v>
      </c>
      <c r="J46">
        <f t="shared" si="19"/>
        <v>179.20192248275646</v>
      </c>
      <c r="K46">
        <f t="shared" si="19"/>
        <v>187.26600899448061</v>
      </c>
      <c r="L46">
        <f t="shared" si="19"/>
        <v>194.75664935426002</v>
      </c>
      <c r="M46">
        <f t="shared" si="19"/>
        <v>201.57313208165922</v>
      </c>
      <c r="N46">
        <f t="shared" si="19"/>
        <v>207.6203260441092</v>
      </c>
    </row>
    <row r="47" spans="1:14" ht="12.75">
      <c r="A47" t="s">
        <v>18</v>
      </c>
      <c r="D47">
        <f aca="true" t="shared" si="20" ref="D47:N47">D43*D8/1000</f>
        <v>54.00359999999999</v>
      </c>
      <c r="E47">
        <f t="shared" si="20"/>
        <v>77.14799999999998</v>
      </c>
      <c r="F47">
        <f t="shared" si="20"/>
        <v>82.54836</v>
      </c>
      <c r="G47">
        <f t="shared" si="20"/>
        <v>87.91400340000001</v>
      </c>
      <c r="H47">
        <f t="shared" si="20"/>
        <v>93.18884360400004</v>
      </c>
      <c r="I47">
        <f t="shared" si="20"/>
        <v>98.31423000222009</v>
      </c>
      <c r="J47">
        <f t="shared" si="20"/>
        <v>103.22994150233112</v>
      </c>
      <c r="K47">
        <f t="shared" si="20"/>
        <v>107.87528886993609</v>
      </c>
      <c r="L47">
        <f t="shared" si="20"/>
        <v>112.19030042473362</v>
      </c>
      <c r="M47">
        <f t="shared" si="20"/>
        <v>116.11696093959938</v>
      </c>
      <c r="N47">
        <f t="shared" si="20"/>
        <v>119.60046976778746</v>
      </c>
    </row>
    <row r="48" spans="1:15" ht="12.75">
      <c r="A48" t="s">
        <v>19</v>
      </c>
      <c r="D48">
        <f aca="true" t="shared" si="21" ref="D48:N48">D44*D9/1000</f>
        <v>80.48733333333332</v>
      </c>
      <c r="E48">
        <f t="shared" si="21"/>
        <v>120.731</v>
      </c>
      <c r="F48">
        <f t="shared" si="21"/>
        <v>129.18216999999999</v>
      </c>
      <c r="G48">
        <f t="shared" si="21"/>
        <v>137.57901105000002</v>
      </c>
      <c r="H48">
        <f t="shared" si="21"/>
        <v>145.83375171300005</v>
      </c>
      <c r="I48">
        <f t="shared" si="21"/>
        <v>153.8546080572151</v>
      </c>
      <c r="J48">
        <f t="shared" si="21"/>
        <v>161.54733846007593</v>
      </c>
      <c r="K48">
        <f t="shared" si="21"/>
        <v>168.81696869077945</v>
      </c>
      <c r="L48">
        <f t="shared" si="21"/>
        <v>175.56964743841075</v>
      </c>
      <c r="M48">
        <f t="shared" si="21"/>
        <v>181.71458509875526</v>
      </c>
      <c r="N48">
        <f t="shared" si="21"/>
        <v>187.1660226517181</v>
      </c>
      <c r="O48">
        <f>SUM(D46:N48)</f>
        <v>4516.59237642212</v>
      </c>
    </row>
    <row r="49" spans="1:15" ht="12.75">
      <c r="A49" t="s">
        <v>32</v>
      </c>
      <c r="D49">
        <f aca="true" t="shared" si="22" ref="D49:N49">(D46+D47+D48)-(D26+D27+D28)</f>
        <v>45.43126666666663</v>
      </c>
      <c r="E49">
        <f t="shared" si="22"/>
        <v>67.50400000000002</v>
      </c>
      <c r="F49">
        <f t="shared" si="22"/>
        <v>72.2292799999999</v>
      </c>
      <c r="G49">
        <f t="shared" si="22"/>
        <v>76.92418320000002</v>
      </c>
      <c r="H49">
        <f t="shared" si="22"/>
        <v>81.539634192</v>
      </c>
      <c r="I49">
        <f t="shared" si="22"/>
        <v>86.02431407256006</v>
      </c>
      <c r="J49">
        <f t="shared" si="22"/>
        <v>90.32552977618809</v>
      </c>
      <c r="K49">
        <f t="shared" si="22"/>
        <v>94.3901786161166</v>
      </c>
      <c r="L49">
        <f t="shared" si="22"/>
        <v>98.16578576076142</v>
      </c>
      <c r="M49">
        <f t="shared" si="22"/>
        <v>101.60158826238802</v>
      </c>
      <c r="N49">
        <f t="shared" si="22"/>
        <v>104.6496359102598</v>
      </c>
      <c r="O49">
        <f>SUM(D49:N49)</f>
        <v>918.7853964569406</v>
      </c>
    </row>
    <row r="50" spans="1:14" ht="12.75">
      <c r="A50" t="s">
        <v>33</v>
      </c>
      <c r="D50">
        <f aca="true" t="shared" si="23" ref="D50:N50">(D26+D27+D28)/10</f>
        <v>17.8343</v>
      </c>
      <c r="E50">
        <f t="shared" si="23"/>
        <v>26.43</v>
      </c>
      <c r="F50">
        <f t="shared" si="23"/>
        <v>28.280100000000004</v>
      </c>
      <c r="G50">
        <f t="shared" si="23"/>
        <v>30.118306500000006</v>
      </c>
      <c r="H50">
        <f t="shared" si="23"/>
        <v>31.925404890000017</v>
      </c>
      <c r="I50">
        <f t="shared" si="23"/>
        <v>33.681302158950025</v>
      </c>
      <c r="J50">
        <f t="shared" si="23"/>
        <v>35.36536726689754</v>
      </c>
      <c r="K50">
        <f t="shared" si="23"/>
        <v>36.95680879390795</v>
      </c>
      <c r="L50">
        <f t="shared" si="23"/>
        <v>38.4350811456643</v>
      </c>
      <c r="M50">
        <f t="shared" si="23"/>
        <v>39.78030898576258</v>
      </c>
      <c r="N50">
        <f t="shared" si="23"/>
        <v>40.9737182553355</v>
      </c>
    </row>
    <row r="51" spans="1:14" ht="12.75">
      <c r="A51" t="s">
        <v>34</v>
      </c>
      <c r="B51">
        <f aca="true" t="shared" si="24" ref="B51:G51">B11*0.2</f>
        <v>22</v>
      </c>
      <c r="C51">
        <f t="shared" si="24"/>
        <v>44</v>
      </c>
      <c r="D51">
        <f t="shared" si="24"/>
        <v>55</v>
      </c>
      <c r="E51">
        <f t="shared" si="24"/>
        <v>46.7852</v>
      </c>
      <c r="F51">
        <f t="shared" si="24"/>
        <v>37.995364000000016</v>
      </c>
      <c r="G51">
        <f t="shared" si="24"/>
        <v>28.63418866000002</v>
      </c>
      <c r="H51">
        <v>0</v>
      </c>
      <c r="I51">
        <f aca="true" t="shared" si="25" ref="I51:N51">I11*0.2</f>
        <v>0</v>
      </c>
      <c r="J51">
        <f t="shared" si="25"/>
        <v>0</v>
      </c>
      <c r="K51">
        <f t="shared" si="25"/>
        <v>0</v>
      </c>
      <c r="L51">
        <f t="shared" si="25"/>
        <v>0</v>
      </c>
      <c r="M51">
        <f t="shared" si="25"/>
        <v>0</v>
      </c>
      <c r="N51">
        <f t="shared" si="25"/>
        <v>0</v>
      </c>
    </row>
    <row r="52" spans="1:4" ht="12.75">
      <c r="A52" t="s">
        <v>35</v>
      </c>
      <c r="B52">
        <f>-(B49-B50-B51)</f>
        <v>22</v>
      </c>
      <c r="C52">
        <f>-(C49-C50-C51)+B53</f>
        <v>48.4</v>
      </c>
      <c r="D52">
        <f>-(D49-D50-D51)+C53</f>
        <v>36.59903333333337</v>
      </c>
    </row>
    <row r="53" spans="1:4" ht="12.75">
      <c r="A53" t="s">
        <v>36</v>
      </c>
      <c r="B53">
        <f>B52*0.2</f>
        <v>4.4</v>
      </c>
      <c r="C53">
        <f>C52*0.19</f>
        <v>9.196</v>
      </c>
      <c r="D53">
        <f>D52*0.18</f>
        <v>6.587826000000006</v>
      </c>
    </row>
    <row r="54" spans="1:15" ht="12.75">
      <c r="A54" t="s">
        <v>37</v>
      </c>
      <c r="B54">
        <f>-B51-B53</f>
        <v>-26.4</v>
      </c>
      <c r="C54">
        <f>-C51-C53</f>
        <v>-53.196</v>
      </c>
      <c r="D54">
        <f aca="true" t="shared" si="26" ref="D54:N54">D49-D50-D51-D53</f>
        <v>-33.990859333333376</v>
      </c>
      <c r="E54">
        <f t="shared" si="26"/>
        <v>-5.711199999999984</v>
      </c>
      <c r="F54">
        <f t="shared" si="26"/>
        <v>5.9538159999998825</v>
      </c>
      <c r="G54">
        <f t="shared" si="26"/>
        <v>18.171688039999992</v>
      </c>
      <c r="H54">
        <f t="shared" si="26"/>
        <v>49.61422930199998</v>
      </c>
      <c r="I54">
        <f t="shared" si="26"/>
        <v>52.343011913610034</v>
      </c>
      <c r="J54">
        <f t="shared" si="26"/>
        <v>54.96016250929055</v>
      </c>
      <c r="K54">
        <f t="shared" si="26"/>
        <v>57.43336982220865</v>
      </c>
      <c r="L54">
        <f t="shared" si="26"/>
        <v>59.730704615097125</v>
      </c>
      <c r="M54">
        <f t="shared" si="26"/>
        <v>61.82127927662544</v>
      </c>
      <c r="N54">
        <f t="shared" si="26"/>
        <v>63.675917654924305</v>
      </c>
      <c r="O54">
        <f>SUM(B54:N54)</f>
        <v>304.4061198004226</v>
      </c>
    </row>
    <row r="55" spans="1:14" ht="12.75">
      <c r="A55" t="s">
        <v>38</v>
      </c>
      <c r="B55">
        <v>0</v>
      </c>
      <c r="C55">
        <v>0</v>
      </c>
      <c r="D55">
        <v>0</v>
      </c>
      <c r="E55">
        <f aca="true" t="shared" si="27" ref="E55:N55">E54*0.3</f>
        <v>-1.713359999999995</v>
      </c>
      <c r="F55">
        <f t="shared" si="27"/>
        <v>1.7861447999999647</v>
      </c>
      <c r="G55">
        <f t="shared" si="27"/>
        <v>5.451506411999998</v>
      </c>
      <c r="H55">
        <f t="shared" si="27"/>
        <v>14.884268790599993</v>
      </c>
      <c r="I55">
        <f t="shared" si="27"/>
        <v>15.70290357408301</v>
      </c>
      <c r="J55">
        <f t="shared" si="27"/>
        <v>16.488048752787165</v>
      </c>
      <c r="K55">
        <f t="shared" si="27"/>
        <v>17.230010946662592</v>
      </c>
      <c r="L55">
        <f t="shared" si="27"/>
        <v>17.919211384529138</v>
      </c>
      <c r="M55">
        <f t="shared" si="27"/>
        <v>18.546383782987633</v>
      </c>
      <c r="N55">
        <f t="shared" si="27"/>
        <v>19.10277529647729</v>
      </c>
    </row>
    <row r="56" spans="1:15" ht="12.75">
      <c r="A56" t="s">
        <v>39</v>
      </c>
      <c r="B56">
        <f aca="true" t="shared" si="28" ref="B56:N56">B54-B55</f>
        <v>-26.4</v>
      </c>
      <c r="C56">
        <f t="shared" si="28"/>
        <v>-53.196</v>
      </c>
      <c r="D56">
        <f t="shared" si="28"/>
        <v>-33.990859333333376</v>
      </c>
      <c r="E56">
        <f t="shared" si="28"/>
        <v>-3.9978399999999885</v>
      </c>
      <c r="F56">
        <f t="shared" si="28"/>
        <v>4.167671199999917</v>
      </c>
      <c r="G56">
        <f t="shared" si="28"/>
        <v>12.720181627999995</v>
      </c>
      <c r="H56">
        <f t="shared" si="28"/>
        <v>34.72996051139998</v>
      </c>
      <c r="I56">
        <f t="shared" si="28"/>
        <v>36.640108339527025</v>
      </c>
      <c r="J56">
        <f t="shared" si="28"/>
        <v>38.47211375650338</v>
      </c>
      <c r="K56">
        <f t="shared" si="28"/>
        <v>40.20335887554606</v>
      </c>
      <c r="L56">
        <f t="shared" si="28"/>
        <v>41.81149323056799</v>
      </c>
      <c r="M56">
        <f t="shared" si="28"/>
        <v>43.27489549363781</v>
      </c>
      <c r="N56">
        <f t="shared" si="28"/>
        <v>44.573142358447015</v>
      </c>
      <c r="O56">
        <f>SUM(B56:N56)</f>
        <v>179.00822606029578</v>
      </c>
    </row>
    <row r="57" spans="1:14" ht="12.75">
      <c r="A57" t="s">
        <v>40</v>
      </c>
      <c r="C57">
        <f>0.208*3</f>
        <v>0.624</v>
      </c>
      <c r="D57">
        <f>0.208*12+1.875*5</f>
        <v>11.871</v>
      </c>
      <c r="E57">
        <f aca="true" t="shared" si="29" ref="E57:M57">0.208*12+1.875*12</f>
        <v>24.996</v>
      </c>
      <c r="F57">
        <f t="shared" si="29"/>
        <v>24.996</v>
      </c>
      <c r="G57">
        <f t="shared" si="29"/>
        <v>24.996</v>
      </c>
      <c r="H57">
        <f t="shared" si="29"/>
        <v>24.996</v>
      </c>
      <c r="I57">
        <f t="shared" si="29"/>
        <v>24.996</v>
      </c>
      <c r="J57">
        <f t="shared" si="29"/>
        <v>24.996</v>
      </c>
      <c r="K57">
        <f t="shared" si="29"/>
        <v>24.996</v>
      </c>
      <c r="L57">
        <f t="shared" si="29"/>
        <v>24.996</v>
      </c>
      <c r="M57">
        <f t="shared" si="29"/>
        <v>24.996</v>
      </c>
      <c r="N57">
        <f>1.875*7+0.208*12</f>
        <v>15.621</v>
      </c>
    </row>
    <row r="59" spans="1:14" ht="12.75">
      <c r="A59" t="s">
        <v>41</v>
      </c>
      <c r="B59">
        <f>-B10+B56</f>
        <v>-136.4</v>
      </c>
      <c r="C59">
        <f aca="true" t="shared" si="30" ref="C59:N59">-C10+C56+C57</f>
        <v>-162.572</v>
      </c>
      <c r="D59">
        <f t="shared" si="30"/>
        <v>-77.11985933333338</v>
      </c>
      <c r="E59">
        <f t="shared" si="30"/>
        <v>20.99816000000001</v>
      </c>
      <c r="F59">
        <f t="shared" si="30"/>
        <v>29.163671199999918</v>
      </c>
      <c r="G59">
        <f t="shared" si="30"/>
        <v>37.716181627999994</v>
      </c>
      <c r="H59">
        <f t="shared" si="30"/>
        <v>59.725960511399975</v>
      </c>
      <c r="I59">
        <f t="shared" si="30"/>
        <v>61.63610833952703</v>
      </c>
      <c r="J59">
        <f t="shared" si="30"/>
        <v>63.468113756503385</v>
      </c>
      <c r="K59">
        <f t="shared" si="30"/>
        <v>65.19935887554605</v>
      </c>
      <c r="L59">
        <f t="shared" si="30"/>
        <v>66.80749323056799</v>
      </c>
      <c r="M59">
        <f t="shared" si="30"/>
        <v>68.27089549363781</v>
      </c>
      <c r="N59">
        <f t="shared" si="30"/>
        <v>60.19414235844702</v>
      </c>
    </row>
    <row r="60" spans="1:14" ht="12.75">
      <c r="A60" t="s">
        <v>42</v>
      </c>
      <c r="B60">
        <f>B59</f>
        <v>-136.4</v>
      </c>
      <c r="C60">
        <f aca="true" t="shared" si="31" ref="C60:N60">C59+B60</f>
        <v>-298.972</v>
      </c>
      <c r="D60">
        <f t="shared" si="31"/>
        <v>-376.09185933333333</v>
      </c>
      <c r="E60">
        <f t="shared" si="31"/>
        <v>-355.09369933333335</v>
      </c>
      <c r="F60">
        <f t="shared" si="31"/>
        <v>-325.93002813333345</v>
      </c>
      <c r="G60">
        <f t="shared" si="31"/>
        <v>-288.21384650533344</v>
      </c>
      <c r="H60">
        <f t="shared" si="31"/>
        <v>-228.48788599393345</v>
      </c>
      <c r="I60">
        <f t="shared" si="31"/>
        <v>-166.85177765440642</v>
      </c>
      <c r="J60">
        <f t="shared" si="31"/>
        <v>-103.38366389790303</v>
      </c>
      <c r="K60">
        <f t="shared" si="31"/>
        <v>-38.18430502235698</v>
      </c>
      <c r="L60">
        <f t="shared" si="31"/>
        <v>28.623188208211005</v>
      </c>
      <c r="M60">
        <f t="shared" si="31"/>
        <v>96.89408370184881</v>
      </c>
      <c r="N60">
        <f t="shared" si="31"/>
        <v>157.08822606029582</v>
      </c>
    </row>
    <row r="62" spans="1:14" ht="12.75">
      <c r="A62" t="s">
        <v>43</v>
      </c>
      <c r="B62">
        <f>1/POWER(1.2,0.5)</f>
        <v>0.9128709291752769</v>
      </c>
      <c r="C62">
        <f>1/POWER(1.2,1.5)</f>
        <v>0.7607257743127307</v>
      </c>
      <c r="D62">
        <f>1/POWER(1.2,2.5)</f>
        <v>0.633938145260609</v>
      </c>
      <c r="E62">
        <f>1/POWER(1.2,3.5)</f>
        <v>0.5282817877171742</v>
      </c>
      <c r="F62">
        <f>1/POWER(1.2,4.5)</f>
        <v>0.44023482309764517</v>
      </c>
      <c r="G62">
        <f>1/POWER(1.2,5.5)</f>
        <v>0.36686235258137107</v>
      </c>
      <c r="H62">
        <f>1/POWER(1.2,6.5)</f>
        <v>0.3057186271511425</v>
      </c>
      <c r="I62">
        <f>1/POWER(1.2,7.5)</f>
        <v>0.25476552262595203</v>
      </c>
      <c r="J62">
        <f>1/POWER(1.2,8.5)</f>
        <v>0.21230460218829345</v>
      </c>
      <c r="K62">
        <f>1/POWER(1.2,9.5)</f>
        <v>0.17692050182357785</v>
      </c>
      <c r="L62">
        <f>1/POWER(1.2,10.5)</f>
        <v>0.14743375151964822</v>
      </c>
      <c r="M62">
        <f>1/POWER(1.2,11.5)</f>
        <v>0.12286145959970685</v>
      </c>
      <c r="N62">
        <f>1/POWER(1.2,12.5)</f>
        <v>0.1023845496664224</v>
      </c>
    </row>
    <row r="63" spans="1:14" ht="12.75">
      <c r="A63" t="s">
        <v>44</v>
      </c>
      <c r="B63">
        <f aca="true" t="shared" si="32" ref="B63:N63">B59*B62</f>
        <v>-124.51559473950778</v>
      </c>
      <c r="C63">
        <f t="shared" si="32"/>
        <v>-123.67271058156926</v>
      </c>
      <c r="D63">
        <f t="shared" si="32"/>
        <v>-48.88922058853243</v>
      </c>
      <c r="E63">
        <f t="shared" si="32"/>
        <v>11.092945503571263</v>
      </c>
      <c r="F63">
        <f t="shared" si="32"/>
        <v>12.838863631609852</v>
      </c>
      <c r="G63">
        <f t="shared" si="32"/>
        <v>13.836647122434364</v>
      </c>
      <c r="H63">
        <f t="shared" si="32"/>
        <v>18.25933865282855</v>
      </c>
      <c r="I63">
        <f t="shared" si="32"/>
        <v>15.702755353749403</v>
      </c>
      <c r="J63">
        <f t="shared" si="32"/>
        <v>13.474572642715806</v>
      </c>
      <c r="K63">
        <f t="shared" si="32"/>
        <v>11.535103290837153</v>
      </c>
      <c r="L63">
        <f t="shared" si="32"/>
        <v>9.84967935660614</v>
      </c>
      <c r="M63">
        <f t="shared" si="32"/>
        <v>8.38786186852739</v>
      </c>
      <c r="N63">
        <f t="shared" si="32"/>
        <v>6.162950157926119</v>
      </c>
    </row>
    <row r="64" spans="1:14" ht="12.75">
      <c r="A64" t="s">
        <v>45</v>
      </c>
      <c r="B64">
        <f aca="true" t="shared" si="33" ref="B64:N64">B60*B62</f>
        <v>-124.51559473950778</v>
      </c>
      <c r="C64">
        <f t="shared" si="33"/>
        <v>-227.4357061978257</v>
      </c>
      <c r="D64">
        <f t="shared" si="33"/>
        <v>-238.4189757533872</v>
      </c>
      <c r="E64">
        <f t="shared" si="33"/>
        <v>-187.58953429091807</v>
      </c>
      <c r="F64">
        <f t="shared" si="33"/>
        <v>-143.48574827748857</v>
      </c>
      <c r="G64">
        <f t="shared" si="33"/>
        <v>-105.7348097754728</v>
      </c>
      <c r="H64">
        <f t="shared" si="33"/>
        <v>-69.8530028267321</v>
      </c>
      <c r="I64">
        <f t="shared" si="33"/>
        <v>-42.508080335193995</v>
      </c>
      <c r="J64">
        <f t="shared" si="33"/>
        <v>-21.94882763661254</v>
      </c>
      <c r="K64">
        <f t="shared" si="33"/>
        <v>-6.755586406339961</v>
      </c>
      <c r="L64">
        <f t="shared" si="33"/>
        <v>4.220024017989506</v>
      </c>
      <c r="M64">
        <f t="shared" si="33"/>
        <v>11.90454855018531</v>
      </c>
      <c r="N64">
        <f t="shared" si="33"/>
        <v>16.083407283080547</v>
      </c>
    </row>
    <row r="65" spans="1:4" ht="12.75">
      <c r="A65" t="s">
        <v>46</v>
      </c>
      <c r="B65">
        <f>B10*B62</f>
        <v>100.41580220928046</v>
      </c>
      <c r="C65">
        <f>C10*C62</f>
        <v>83.67983517440038</v>
      </c>
      <c r="D65">
        <f>D10*D62</f>
        <v>34.86659798933349</v>
      </c>
    </row>
    <row r="66" spans="1:4" ht="12.75">
      <c r="A66" t="s">
        <v>47</v>
      </c>
      <c r="B66">
        <f>B65</f>
        <v>100.41580220928046</v>
      </c>
      <c r="C66">
        <f>B66+C65</f>
        <v>184.09563738368084</v>
      </c>
      <c r="D66">
        <f>C66+D65</f>
        <v>218.96223537301432</v>
      </c>
    </row>
    <row r="67" spans="1:14" ht="12.75">
      <c r="A67" t="s">
        <v>48</v>
      </c>
      <c r="N67">
        <f>N64</f>
        <v>16.083407283080547</v>
      </c>
    </row>
    <row r="68" spans="1:14" ht="12.75">
      <c r="A68" t="s">
        <v>49</v>
      </c>
      <c r="N68">
        <f>N67/D66</f>
        <v>0.07345288220903284</v>
      </c>
    </row>
    <row r="69" spans="1:14" ht="12.75">
      <c r="A69" t="s">
        <v>50</v>
      </c>
      <c r="N69">
        <v>6.129</v>
      </c>
    </row>
    <row r="71" spans="1:14" ht="12.75">
      <c r="A71" t="s">
        <v>43</v>
      </c>
      <c r="B71">
        <f>1/POWER(1.15,0.5)</f>
        <v>0.9325048082403138</v>
      </c>
      <c r="C71">
        <f>1/POWER(1.15,1.5)</f>
        <v>0.8108737462959251</v>
      </c>
      <c r="D71">
        <f>1/POWER(1.15,2.5)</f>
        <v>0.7051076054747175</v>
      </c>
      <c r="E71">
        <f>1/POWER(1.15,3.5)</f>
        <v>0.6131370482388848</v>
      </c>
      <c r="F71">
        <f>1/POWER(1.15,4.5)</f>
        <v>0.5331626506425087</v>
      </c>
      <c r="G71">
        <f>1/POWER(1.15,5.5)</f>
        <v>0.4636196962108771</v>
      </c>
      <c r="H71">
        <f>1/POWER(1.15,6.5)</f>
        <v>0.40314756192250184</v>
      </c>
      <c r="I71">
        <f>1/POWER(1.15,7.5)</f>
        <v>0.35056309732391466</v>
      </c>
      <c r="J71">
        <f>1/POWER(1.15,8.5)</f>
        <v>0.30483747593383886</v>
      </c>
      <c r="K71">
        <f>1/POWER(1.15,9.5)</f>
        <v>0.26507606602942513</v>
      </c>
      <c r="L71">
        <f>1/POWER(1.15,10.5)</f>
        <v>0.23050092698210878</v>
      </c>
      <c r="M71">
        <f>1/POWER(1.15,11.5)</f>
        <v>0.20043558868009465</v>
      </c>
      <c r="N71">
        <f>1/POWER(1.15,12.5)</f>
        <v>0.17429181624356058</v>
      </c>
    </row>
    <row r="72" spans="1:14" ht="12.75">
      <c r="A72" t="s">
        <v>44</v>
      </c>
      <c r="B72">
        <f aca="true" t="shared" si="34" ref="B72:N72">B59*B71</f>
        <v>-127.1936558439788</v>
      </c>
      <c r="C72">
        <f t="shared" si="34"/>
        <v>-131.82536668282114</v>
      </c>
      <c r="D72">
        <f t="shared" si="34"/>
        <v>-54.37779934907375</v>
      </c>
      <c r="E72">
        <f t="shared" si="34"/>
        <v>12.874749840847826</v>
      </c>
      <c r="F72">
        <f t="shared" si="34"/>
        <v>15.548980239458547</v>
      </c>
      <c r="G72">
        <f t="shared" si="34"/>
        <v>17.48596466860762</v>
      </c>
      <c r="H72">
        <f t="shared" si="34"/>
        <v>24.078375363650522</v>
      </c>
      <c r="I72">
        <f t="shared" si="34"/>
        <v>21.60734504649696</v>
      </c>
      <c r="J72">
        <f t="shared" si="34"/>
        <v>19.347459599814247</v>
      </c>
      <c r="K72">
        <f t="shared" si="34"/>
        <v>17.282789558370432</v>
      </c>
      <c r="L72">
        <f t="shared" si="34"/>
        <v>15.399189118996878</v>
      </c>
      <c r="M72">
        <f t="shared" si="34"/>
        <v>13.683917127984515</v>
      </c>
      <c r="N72">
        <f t="shared" si="34"/>
        <v>10.491346398877173</v>
      </c>
    </row>
    <row r="73" spans="1:14" ht="12.75">
      <c r="A73" t="s">
        <v>45</v>
      </c>
      <c r="B73">
        <f aca="true" t="shared" si="35" ref="B73:N73">B60*B71</f>
        <v>-127.1936558439788</v>
      </c>
      <c r="C73">
        <f t="shared" si="35"/>
        <v>-242.4285456775853</v>
      </c>
      <c r="D73">
        <f t="shared" si="35"/>
        <v>-265.18523037306096</v>
      </c>
      <c r="E73">
        <f t="shared" si="35"/>
        <v>-217.72110265746608</v>
      </c>
      <c r="F73">
        <f t="shared" si="35"/>
        <v>-173.77371772355548</v>
      </c>
      <c r="G73">
        <f t="shared" si="35"/>
        <v>-133.62161596057106</v>
      </c>
      <c r="H73">
        <f t="shared" si="35"/>
        <v>-92.11433416728083</v>
      </c>
      <c r="I73">
        <f t="shared" si="35"/>
        <v>-58.492075968529846</v>
      </c>
      <c r="J73">
        <f t="shared" si="35"/>
        <v>-31.5152151554291</v>
      </c>
      <c r="K73">
        <f t="shared" si="35"/>
        <v>-10.121745359394009</v>
      </c>
      <c r="L73">
        <f t="shared" si="35"/>
        <v>6.597671415176002</v>
      </c>
      <c r="M73">
        <f t="shared" si="35"/>
        <v>19.421022706398432</v>
      </c>
      <c r="N73">
        <f t="shared" si="35"/>
        <v>27.379192230527984</v>
      </c>
    </row>
    <row r="74" spans="1:4" ht="12.75">
      <c r="A74" t="s">
        <v>46</v>
      </c>
      <c r="B74">
        <f>B10*B71</f>
        <v>102.57552890643451</v>
      </c>
      <c r="C74">
        <f>C10*C71</f>
        <v>89.19611209255176</v>
      </c>
      <c r="D74">
        <f>D10*D71</f>
        <v>38.780918301109466</v>
      </c>
    </row>
    <row r="75" spans="1:4" ht="12.75">
      <c r="A75" t="s">
        <v>47</v>
      </c>
      <c r="B75">
        <f>B74</f>
        <v>102.57552890643451</v>
      </c>
      <c r="C75">
        <f>B75+C74</f>
        <v>191.77164099898627</v>
      </c>
      <c r="D75">
        <f>C75+D74</f>
        <v>230.55255930009574</v>
      </c>
    </row>
    <row r="76" spans="1:14" ht="12.75">
      <c r="A76" t="s">
        <v>48</v>
      </c>
      <c r="N76">
        <f>N73</f>
        <v>27.379192230527984</v>
      </c>
    </row>
    <row r="77" spans="1:14" ht="12.75">
      <c r="A77" t="s">
        <v>49</v>
      </c>
      <c r="N77">
        <f>N76/D75</f>
        <v>0.11875466624029193</v>
      </c>
    </row>
    <row r="78" ht="12.75">
      <c r="A78" t="s">
        <v>50</v>
      </c>
    </row>
    <row r="80" spans="1:14" ht="12.75">
      <c r="A80" t="s">
        <v>43</v>
      </c>
      <c r="B80">
        <f>1/POWER(1.25,0.5)</f>
        <v>0.8944271909999159</v>
      </c>
      <c r="C80">
        <f>1/POWER(1.25,1.5)</f>
        <v>0.7155417527999327</v>
      </c>
      <c r="D80">
        <f>1/POWER(1.25,2.5)</f>
        <v>0.5724334022399462</v>
      </c>
      <c r="E80">
        <f>1/POWER(1.25,3.5)</f>
        <v>0.4579467217919569</v>
      </c>
      <c r="F80">
        <f>1/POWER(1.25,4.5)</f>
        <v>0.36635737743356556</v>
      </c>
      <c r="G80">
        <f>1/POWER(1.25,5.5)</f>
        <v>0.29308590194685247</v>
      </c>
      <c r="H80">
        <f>1/POWER(1.25,6.5)</f>
        <v>0.2344687215574819</v>
      </c>
      <c r="I80">
        <f>1/POWER(1.25,7.5)</f>
        <v>0.18757497724598554</v>
      </c>
      <c r="J80">
        <f>1/POWER(1.25,8.5)</f>
        <v>0.15005998179678842</v>
      </c>
      <c r="K80">
        <f>1/POWER(1.25,9.5)</f>
        <v>0.12004798543743075</v>
      </c>
      <c r="L80">
        <f>1/POWER(1.25,10.5)</f>
        <v>0.09603838834994462</v>
      </c>
      <c r="M80">
        <f>1/POWER(1.25,11.5)</f>
        <v>0.0768307106799557</v>
      </c>
      <c r="N80">
        <f>1/POWER(1.25,12.5)</f>
        <v>0.06146456854396452</v>
      </c>
    </row>
    <row r="81" spans="1:14" ht="12.75">
      <c r="A81" t="s">
        <v>44</v>
      </c>
      <c r="B81">
        <f aca="true" t="shared" si="36" ref="B81:N81">B59*B80</f>
        <v>-121.99986885238853</v>
      </c>
      <c r="C81">
        <f t="shared" si="36"/>
        <v>-116.32705383619066</v>
      </c>
      <c r="D81">
        <f t="shared" si="36"/>
        <v>-44.145983458446096</v>
      </c>
      <c r="E81">
        <f t="shared" si="36"/>
        <v>9.616038535663002</v>
      </c>
      <c r="F81">
        <f t="shared" si="36"/>
        <v>10.684326097166776</v>
      </c>
      <c r="G81">
        <f t="shared" si="36"/>
        <v>11.054081110433685</v>
      </c>
      <c r="H81">
        <f t="shared" si="36"/>
        <v>14.0038696049006</v>
      </c>
      <c r="I81">
        <f t="shared" si="36"/>
        <v>11.561391619317881</v>
      </c>
      <c r="J81">
        <f t="shared" si="36"/>
        <v>9.524023994977394</v>
      </c>
      <c r="K81">
        <f t="shared" si="36"/>
        <v>7.827051684821374</v>
      </c>
      <c r="L81">
        <f t="shared" si="36"/>
        <v>6.4160839795635844</v>
      </c>
      <c r="M81">
        <f t="shared" si="36"/>
        <v>5.2453014195331775</v>
      </c>
      <c r="N81">
        <f t="shared" si="36"/>
        <v>3.699806988935925</v>
      </c>
    </row>
    <row r="82" spans="1:14" ht="12.75">
      <c r="A82" t="s">
        <v>45</v>
      </c>
      <c r="B82">
        <f aca="true" t="shared" si="37" ref="B82:N82">B60*B80</f>
        <v>-121.99986885238853</v>
      </c>
      <c r="C82">
        <f t="shared" si="37"/>
        <v>-213.92694891810146</v>
      </c>
      <c r="D82">
        <f t="shared" si="37"/>
        <v>-215.28754259292728</v>
      </c>
      <c r="E82">
        <f t="shared" si="37"/>
        <v>-162.6139955386788</v>
      </c>
      <c r="F82">
        <f t="shared" si="37"/>
        <v>-119.40687033377628</v>
      </c>
      <c r="G82">
        <f t="shared" si="37"/>
        <v>-84.47141515658734</v>
      </c>
      <c r="H82">
        <f t="shared" si="37"/>
        <v>-53.573262520369255</v>
      </c>
      <c r="I82">
        <f t="shared" si="37"/>
        <v>-31.297218396977524</v>
      </c>
      <c r="J82">
        <f t="shared" si="37"/>
        <v>-15.513750722604621</v>
      </c>
      <c r="K82">
        <f t="shared" si="37"/>
        <v>-4.583948893262325</v>
      </c>
      <c r="L82">
        <f t="shared" si="37"/>
        <v>2.748924864953724</v>
      </c>
      <c r="M82">
        <f t="shared" si="37"/>
        <v>7.444441311496157</v>
      </c>
      <c r="N82">
        <f t="shared" si="37"/>
        <v>9.655360038132846</v>
      </c>
    </row>
    <row r="83" spans="1:4" ht="12.75">
      <c r="A83" t="s">
        <v>46</v>
      </c>
      <c r="B83">
        <f>B10*B80</f>
        <v>98.38699100999074</v>
      </c>
      <c r="C83">
        <f>C10*C80</f>
        <v>78.70959280799259</v>
      </c>
      <c r="D83">
        <f>D10*D80</f>
        <v>31.48383712319704</v>
      </c>
    </row>
    <row r="84" spans="1:4" ht="12.75">
      <c r="A84" t="s">
        <v>47</v>
      </c>
      <c r="B84">
        <f>B83</f>
        <v>98.38699100999074</v>
      </c>
      <c r="C84">
        <f>B84+C83</f>
        <v>177.09658381798334</v>
      </c>
      <c r="D84">
        <f>C84+D83</f>
        <v>208.5804209411804</v>
      </c>
    </row>
    <row r="85" spans="1:14" ht="12.75">
      <c r="A85" t="s">
        <v>48</v>
      </c>
      <c r="N85">
        <f>N82</f>
        <v>9.655360038132846</v>
      </c>
    </row>
    <row r="86" spans="1:14" ht="12.75">
      <c r="A86" t="s">
        <v>49</v>
      </c>
      <c r="N86">
        <f>N85/D84</f>
        <v>0.04629082631325044</v>
      </c>
    </row>
    <row r="87" ht="12.75">
      <c r="A87" t="s">
        <v>50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O94"/>
  <sheetViews>
    <sheetView zoomScalePageLayoutView="0" workbookViewId="0" topLeftCell="A79">
      <selection activeCell="B90" sqref="B90:J94"/>
    </sheetView>
  </sheetViews>
  <sheetFormatPr defaultColWidth="9.00390625" defaultRowHeight="12.75"/>
  <sheetData>
    <row r="3" ht="12.75">
      <c r="A3" t="s">
        <v>1</v>
      </c>
    </row>
    <row r="5" spans="1:14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</row>
    <row r="6" ht="12.75">
      <c r="A6" t="s">
        <v>16</v>
      </c>
    </row>
    <row r="7" spans="1:14" ht="12.75">
      <c r="A7" t="s">
        <v>17</v>
      </c>
      <c r="B7">
        <v>0</v>
      </c>
      <c r="C7">
        <v>0</v>
      </c>
      <c r="D7">
        <f>200*0.9</f>
        <v>180</v>
      </c>
      <c r="E7">
        <f>300*0.9</f>
        <v>270</v>
      </c>
      <c r="F7">
        <f aca="true" t="shared" si="0" ref="F7:N7">E7</f>
        <v>270</v>
      </c>
      <c r="G7">
        <f t="shared" si="0"/>
        <v>270</v>
      </c>
      <c r="H7">
        <f t="shared" si="0"/>
        <v>270</v>
      </c>
      <c r="I7">
        <f t="shared" si="0"/>
        <v>270</v>
      </c>
      <c r="J7">
        <f t="shared" si="0"/>
        <v>270</v>
      </c>
      <c r="K7">
        <f t="shared" si="0"/>
        <v>270</v>
      </c>
      <c r="L7">
        <f t="shared" si="0"/>
        <v>270</v>
      </c>
      <c r="M7">
        <f t="shared" si="0"/>
        <v>270</v>
      </c>
      <c r="N7">
        <f t="shared" si="0"/>
        <v>270</v>
      </c>
    </row>
    <row r="8" spans="1:14" ht="12.75">
      <c r="A8" t="s">
        <v>18</v>
      </c>
      <c r="B8">
        <v>0</v>
      </c>
      <c r="C8">
        <v>0</v>
      </c>
      <c r="D8">
        <f>70*0.9</f>
        <v>63</v>
      </c>
      <c r="E8">
        <f>100*0.9</f>
        <v>90</v>
      </c>
      <c r="F8">
        <f aca="true" t="shared" si="1" ref="F8:N8">E8</f>
        <v>90</v>
      </c>
      <c r="G8">
        <f t="shared" si="1"/>
        <v>90</v>
      </c>
      <c r="H8">
        <f t="shared" si="1"/>
        <v>90</v>
      </c>
      <c r="I8">
        <f t="shared" si="1"/>
        <v>90</v>
      </c>
      <c r="J8">
        <f t="shared" si="1"/>
        <v>90</v>
      </c>
      <c r="K8">
        <f t="shared" si="1"/>
        <v>90</v>
      </c>
      <c r="L8">
        <f t="shared" si="1"/>
        <v>90</v>
      </c>
      <c r="M8">
        <f t="shared" si="1"/>
        <v>90</v>
      </c>
      <c r="N8">
        <f t="shared" si="1"/>
        <v>90</v>
      </c>
    </row>
    <row r="9" spans="1:14" ht="12.75">
      <c r="A9" t="s">
        <v>19</v>
      </c>
      <c r="B9">
        <v>0</v>
      </c>
      <c r="C9">
        <v>0</v>
      </c>
      <c r="D9">
        <v>90</v>
      </c>
      <c r="E9">
        <f>150*0.9</f>
        <v>135</v>
      </c>
      <c r="F9">
        <f aca="true" t="shared" si="2" ref="F9:N9">E9</f>
        <v>135</v>
      </c>
      <c r="G9">
        <f t="shared" si="2"/>
        <v>135</v>
      </c>
      <c r="H9">
        <f t="shared" si="2"/>
        <v>135</v>
      </c>
      <c r="I9">
        <f t="shared" si="2"/>
        <v>135</v>
      </c>
      <c r="J9">
        <f t="shared" si="2"/>
        <v>135</v>
      </c>
      <c r="K9">
        <f t="shared" si="2"/>
        <v>135</v>
      </c>
      <c r="L9">
        <f t="shared" si="2"/>
        <v>135</v>
      </c>
      <c r="M9">
        <f t="shared" si="2"/>
        <v>135</v>
      </c>
      <c r="N9">
        <f t="shared" si="2"/>
        <v>135</v>
      </c>
    </row>
    <row r="10" spans="1:4" ht="12.75">
      <c r="A10" t="s">
        <v>20</v>
      </c>
      <c r="B10">
        <v>100</v>
      </c>
      <c r="C10">
        <v>100</v>
      </c>
      <c r="D10">
        <v>50</v>
      </c>
    </row>
    <row r="11" spans="1:8" ht="12.75">
      <c r="A11" t="s">
        <v>21</v>
      </c>
      <c r="B11">
        <f>B10</f>
        <v>100</v>
      </c>
      <c r="C11">
        <f>B11+C10</f>
        <v>200</v>
      </c>
      <c r="D11">
        <f>C11+D10</f>
        <v>250</v>
      </c>
      <c r="E11">
        <f>D11-E49+E50</f>
        <v>211.80100000000002</v>
      </c>
      <c r="F11">
        <f>E11-F49+F50</f>
        <v>170.92807000000005</v>
      </c>
      <c r="G11">
        <f>F11-G49+G50</f>
        <v>127.39839955</v>
      </c>
      <c r="H11">
        <v>0</v>
      </c>
    </row>
    <row r="12" spans="1:14" ht="12.75">
      <c r="A12" t="s">
        <v>22</v>
      </c>
      <c r="F12">
        <v>1.07</v>
      </c>
      <c r="G12">
        <f aca="true" t="shared" si="3" ref="G12:N12">F12-0.005</f>
        <v>1.0650000000000002</v>
      </c>
      <c r="H12">
        <f t="shared" si="3"/>
        <v>1.0600000000000003</v>
      </c>
      <c r="I12">
        <f t="shared" si="3"/>
        <v>1.0550000000000004</v>
      </c>
      <c r="J12">
        <f t="shared" si="3"/>
        <v>1.0500000000000005</v>
      </c>
      <c r="K12">
        <f t="shared" si="3"/>
        <v>1.0450000000000006</v>
      </c>
      <c r="L12">
        <f t="shared" si="3"/>
        <v>1.0400000000000007</v>
      </c>
      <c r="M12">
        <f t="shared" si="3"/>
        <v>1.0350000000000008</v>
      </c>
      <c r="N12">
        <f t="shared" si="3"/>
        <v>1.030000000000001</v>
      </c>
    </row>
    <row r="13" ht="12.75">
      <c r="A13" t="s">
        <v>23</v>
      </c>
    </row>
    <row r="14" spans="1:14" ht="12.75">
      <c r="A14" t="s">
        <v>17</v>
      </c>
      <c r="D14">
        <f>E14*D7/E7</f>
        <v>21.426666666666666</v>
      </c>
      <c r="E14">
        <v>32.14</v>
      </c>
      <c r="F14">
        <f>E14*$F$12</f>
        <v>34.3898</v>
      </c>
      <c r="G14">
        <f>F14*$G$12</f>
        <v>36.62513700000001</v>
      </c>
      <c r="H14">
        <f>G14*$H$12</f>
        <v>38.82264522000002</v>
      </c>
      <c r="I14">
        <f>H14*$I$12</f>
        <v>40.957890707100034</v>
      </c>
      <c r="J14">
        <f>I14*$J$12</f>
        <v>43.005785242455055</v>
      </c>
      <c r="K14">
        <f>J14*$K$12</f>
        <v>44.94104557836556</v>
      </c>
      <c r="L14">
        <f>K14*$L$12</f>
        <v>46.738687401500215</v>
      </c>
      <c r="M14">
        <f>L14*$M$12</f>
        <v>48.37454146055276</v>
      </c>
      <c r="N14">
        <f>M14*$N$12</f>
        <v>49.82577770436939</v>
      </c>
    </row>
    <row r="15" spans="1:14" ht="12.75">
      <c r="A15" t="s">
        <v>18</v>
      </c>
      <c r="D15">
        <f>E15*D8/E8</f>
        <v>13.503</v>
      </c>
      <c r="E15">
        <v>19.29</v>
      </c>
      <c r="F15">
        <f>E15*$F$12</f>
        <v>20.6403</v>
      </c>
      <c r="G15">
        <f>F15*$G$12</f>
        <v>21.981919500000004</v>
      </c>
      <c r="H15">
        <f>G15*$H$12</f>
        <v>23.30083467000001</v>
      </c>
      <c r="I15">
        <f>H15*$I$12</f>
        <v>24.58238057685002</v>
      </c>
      <c r="J15">
        <f>I15*$J$12</f>
        <v>25.811499605692532</v>
      </c>
      <c r="K15">
        <f>J15*$K$12</f>
        <v>26.973017087948712</v>
      </c>
      <c r="L15">
        <f>K15*$L$12</f>
        <v>28.05193777146668</v>
      </c>
      <c r="M15">
        <f>L15*$M$12</f>
        <v>29.033755593468037</v>
      </c>
      <c r="N15">
        <f>M15*$N$12</f>
        <v>29.904768261272103</v>
      </c>
    </row>
    <row r="16" spans="1:14" ht="12.75">
      <c r="A16" t="s">
        <v>19</v>
      </c>
      <c r="D16">
        <f>E16*D9/E9</f>
        <v>18.580000000000002</v>
      </c>
      <c r="E16">
        <v>27.87</v>
      </c>
      <c r="F16">
        <f>E16*$F$12</f>
        <v>29.8209</v>
      </c>
      <c r="G16">
        <f>F16*$G$12</f>
        <v>31.75925850000001</v>
      </c>
      <c r="H16">
        <f>G16*$H$12</f>
        <v>33.664814010000015</v>
      </c>
      <c r="I16">
        <f>H16*$I$12</f>
        <v>35.51637878055003</v>
      </c>
      <c r="J16">
        <f>I16*$J$12</f>
        <v>37.292197719577544</v>
      </c>
      <c r="K16">
        <f>J16*$K$12</f>
        <v>38.97034661695856</v>
      </c>
      <c r="L16">
        <f>K16*$L$12</f>
        <v>40.52916048163693</v>
      </c>
      <c r="M16">
        <f>L16*$M$12</f>
        <v>41.94768109849426</v>
      </c>
      <c r="N16">
        <f>M16*$N$12</f>
        <v>43.206111531449125</v>
      </c>
    </row>
    <row r="17" ht="12.75">
      <c r="A17" t="s">
        <v>24</v>
      </c>
    </row>
    <row r="18" spans="1:14" ht="12.75">
      <c r="A18" t="s">
        <v>17</v>
      </c>
      <c r="D18">
        <f>E18*D7/E7</f>
        <v>45</v>
      </c>
      <c r="E18">
        <f>0.9*75</f>
        <v>67.5</v>
      </c>
      <c r="F18">
        <f>E18*$F$12</f>
        <v>72.22500000000001</v>
      </c>
      <c r="G18">
        <f>F18*$G$12</f>
        <v>76.91962500000002</v>
      </c>
      <c r="H18">
        <f>G18*$H$12</f>
        <v>81.53480250000004</v>
      </c>
      <c r="I18">
        <f>H18*$I$12</f>
        <v>86.01921663750008</v>
      </c>
      <c r="J18">
        <f>I18*$J$12</f>
        <v>90.32017746937512</v>
      </c>
      <c r="K18">
        <f>J18*$K$12</f>
        <v>94.38458545549706</v>
      </c>
      <c r="L18">
        <f>K18*$L$12</f>
        <v>98.159968873717</v>
      </c>
      <c r="M18">
        <f>L18*$M$12</f>
        <v>101.59556778429717</v>
      </c>
      <c r="N18">
        <f>M18*$N$12</f>
        <v>104.64343481782618</v>
      </c>
    </row>
    <row r="19" spans="1:14" ht="12.75">
      <c r="A19" t="s">
        <v>18</v>
      </c>
      <c r="D19">
        <f>E19*D8/E8</f>
        <v>28.35</v>
      </c>
      <c r="E19">
        <f>0.9*45</f>
        <v>40.5</v>
      </c>
      <c r="F19">
        <f>E19*$F$12</f>
        <v>43.335</v>
      </c>
      <c r="G19">
        <f>F19*$G$12</f>
        <v>46.15177500000001</v>
      </c>
      <c r="H19">
        <f>G19*$H$12</f>
        <v>48.92088150000002</v>
      </c>
      <c r="I19">
        <f>H19*$I$12</f>
        <v>51.61152998250004</v>
      </c>
      <c r="J19">
        <f>I19*$J$12</f>
        <v>54.19210648162507</v>
      </c>
      <c r="K19">
        <f>J19*$K$12</f>
        <v>56.63075127329823</v>
      </c>
      <c r="L19">
        <f>K19*$L$12</f>
        <v>58.8959813242302</v>
      </c>
      <c r="M19">
        <f>L19*$M$12</f>
        <v>60.957340670578304</v>
      </c>
      <c r="N19">
        <f>M19*$N$12</f>
        <v>62.78606089069571</v>
      </c>
    </row>
    <row r="20" spans="1:14" ht="12.75">
      <c r="A20" t="s">
        <v>19</v>
      </c>
      <c r="D20">
        <f>E20*D9/E9</f>
        <v>39</v>
      </c>
      <c r="E20">
        <f>0.9*65</f>
        <v>58.5</v>
      </c>
      <c r="F20">
        <f>E20*$F$12</f>
        <v>62.595000000000006</v>
      </c>
      <c r="G20">
        <f>F20*$G$12</f>
        <v>66.66367500000001</v>
      </c>
      <c r="H20">
        <f>G20*$H$12</f>
        <v>70.66349550000002</v>
      </c>
      <c r="I20">
        <f>H20*$I$12</f>
        <v>74.54998775250006</v>
      </c>
      <c r="J20">
        <f>I20*$J$12</f>
        <v>78.2774871401251</v>
      </c>
      <c r="K20">
        <f>J20*$K$12</f>
        <v>81.79997406143077</v>
      </c>
      <c r="L20">
        <f>K20*$L$12</f>
        <v>85.07197302388806</v>
      </c>
      <c r="M20">
        <f>L20*$M$12</f>
        <v>88.04949207972422</v>
      </c>
      <c r="N20">
        <f>M20*$N$12</f>
        <v>90.69097684211603</v>
      </c>
    </row>
    <row r="21" ht="12.75">
      <c r="A21" t="s">
        <v>25</v>
      </c>
    </row>
    <row r="22" spans="1:14" ht="12.75">
      <c r="A22" t="s">
        <v>17</v>
      </c>
      <c r="D22">
        <f aca="true" t="shared" si="4" ref="D22:N22">D18*1000/D7</f>
        <v>250</v>
      </c>
      <c r="E22">
        <f t="shared" si="4"/>
        <v>250</v>
      </c>
      <c r="F22">
        <f t="shared" si="4"/>
        <v>267.50000000000006</v>
      </c>
      <c r="G22">
        <f t="shared" si="4"/>
        <v>284.8875000000001</v>
      </c>
      <c r="H22">
        <f t="shared" si="4"/>
        <v>301.9807500000001</v>
      </c>
      <c r="I22">
        <f t="shared" si="4"/>
        <v>318.5896912500003</v>
      </c>
      <c r="J22">
        <f t="shared" si="4"/>
        <v>334.51917581250046</v>
      </c>
      <c r="K22">
        <f t="shared" si="4"/>
        <v>349.5725387240632</v>
      </c>
      <c r="L22">
        <f t="shared" si="4"/>
        <v>363.55544027302597</v>
      </c>
      <c r="M22">
        <f t="shared" si="4"/>
        <v>376.27988068258213</v>
      </c>
      <c r="N22">
        <f t="shared" si="4"/>
        <v>387.56827710305987</v>
      </c>
    </row>
    <row r="23" spans="1:14" ht="12.75">
      <c r="A23" t="s">
        <v>18</v>
      </c>
      <c r="D23">
        <f aca="true" t="shared" si="5" ref="D23:N23">D19*1000/D8</f>
        <v>450</v>
      </c>
      <c r="E23">
        <f t="shared" si="5"/>
        <v>450</v>
      </c>
      <c r="F23">
        <f t="shared" si="5"/>
        <v>481.5</v>
      </c>
      <c r="G23">
        <f t="shared" si="5"/>
        <v>512.7975000000001</v>
      </c>
      <c r="H23">
        <f t="shared" si="5"/>
        <v>543.5653500000003</v>
      </c>
      <c r="I23">
        <f t="shared" si="5"/>
        <v>573.4614442500005</v>
      </c>
      <c r="J23">
        <f t="shared" si="5"/>
        <v>602.1345164625008</v>
      </c>
      <c r="K23">
        <f t="shared" si="5"/>
        <v>629.2305697033137</v>
      </c>
      <c r="L23">
        <f t="shared" si="5"/>
        <v>654.3997924914466</v>
      </c>
      <c r="M23">
        <f t="shared" si="5"/>
        <v>677.3037852286478</v>
      </c>
      <c r="N23">
        <f t="shared" si="5"/>
        <v>697.6228987855078</v>
      </c>
    </row>
    <row r="24" spans="1:14" ht="12.75">
      <c r="A24" t="s">
        <v>19</v>
      </c>
      <c r="D24">
        <f aca="true" t="shared" si="6" ref="D24:N24">D20*1000/D9</f>
        <v>433.3333333333333</v>
      </c>
      <c r="E24">
        <f t="shared" si="6"/>
        <v>433.3333333333333</v>
      </c>
      <c r="F24">
        <f t="shared" si="6"/>
        <v>463.66666666666674</v>
      </c>
      <c r="G24">
        <f t="shared" si="6"/>
        <v>493.8050000000001</v>
      </c>
      <c r="H24">
        <f t="shared" si="6"/>
        <v>523.4333000000001</v>
      </c>
      <c r="I24">
        <f t="shared" si="6"/>
        <v>552.2221315000005</v>
      </c>
      <c r="J24">
        <f t="shared" si="6"/>
        <v>579.8332380750007</v>
      </c>
      <c r="K24">
        <f t="shared" si="6"/>
        <v>605.9257337883762</v>
      </c>
      <c r="L24">
        <f t="shared" si="6"/>
        <v>630.1627631399116</v>
      </c>
      <c r="M24">
        <f t="shared" si="6"/>
        <v>652.218459849809</v>
      </c>
      <c r="N24">
        <f t="shared" si="6"/>
        <v>671.7850136453039</v>
      </c>
    </row>
    <row r="25" ht="12.75">
      <c r="A25" t="s">
        <v>26</v>
      </c>
    </row>
    <row r="26" spans="1:14" ht="12.75">
      <c r="A26" t="s">
        <v>17</v>
      </c>
      <c r="D26">
        <f aca="true" t="shared" si="7" ref="D26:N26">D14+D18</f>
        <v>66.42666666666666</v>
      </c>
      <c r="E26">
        <f t="shared" si="7"/>
        <v>99.64</v>
      </c>
      <c r="F26">
        <f t="shared" si="7"/>
        <v>106.6148</v>
      </c>
      <c r="G26">
        <f t="shared" si="7"/>
        <v>113.54476200000003</v>
      </c>
      <c r="H26">
        <f t="shared" si="7"/>
        <v>120.35744772000007</v>
      </c>
      <c r="I26">
        <f t="shared" si="7"/>
        <v>126.97710734460011</v>
      </c>
      <c r="J26">
        <f t="shared" si="7"/>
        <v>133.3259627118302</v>
      </c>
      <c r="K26">
        <f t="shared" si="7"/>
        <v>139.32563103386263</v>
      </c>
      <c r="L26">
        <f t="shared" si="7"/>
        <v>144.8986562752172</v>
      </c>
      <c r="M26">
        <f t="shared" si="7"/>
        <v>149.97010924484994</v>
      </c>
      <c r="N26">
        <f t="shared" si="7"/>
        <v>154.46921252219556</v>
      </c>
    </row>
    <row r="27" spans="1:14" ht="12.75">
      <c r="A27" t="s">
        <v>18</v>
      </c>
      <c r="D27">
        <f aca="true" t="shared" si="8" ref="D27:N27">D15+D19</f>
        <v>41.853</v>
      </c>
      <c r="E27">
        <f t="shared" si="8"/>
        <v>59.79</v>
      </c>
      <c r="F27">
        <f t="shared" si="8"/>
        <v>63.975300000000004</v>
      </c>
      <c r="G27">
        <f t="shared" si="8"/>
        <v>68.13369450000002</v>
      </c>
      <c r="H27">
        <f t="shared" si="8"/>
        <v>72.22171617000004</v>
      </c>
      <c r="I27">
        <f t="shared" si="8"/>
        <v>76.19391055935006</v>
      </c>
      <c r="J27">
        <f t="shared" si="8"/>
        <v>80.00360608731759</v>
      </c>
      <c r="K27">
        <f t="shared" si="8"/>
        <v>83.60376836124695</v>
      </c>
      <c r="L27">
        <f t="shared" si="8"/>
        <v>86.94791909569688</v>
      </c>
      <c r="M27">
        <f t="shared" si="8"/>
        <v>89.99109626404635</v>
      </c>
      <c r="N27">
        <f t="shared" si="8"/>
        <v>92.69082915196782</v>
      </c>
    </row>
    <row r="28" spans="1:15" ht="12.75">
      <c r="A28" t="s">
        <v>19</v>
      </c>
      <c r="D28">
        <f aca="true" t="shared" si="9" ref="D28:N28">D16+D20</f>
        <v>57.58</v>
      </c>
      <c r="E28">
        <f t="shared" si="9"/>
        <v>86.37</v>
      </c>
      <c r="F28">
        <f t="shared" si="9"/>
        <v>92.41590000000001</v>
      </c>
      <c r="G28">
        <f t="shared" si="9"/>
        <v>98.42293350000003</v>
      </c>
      <c r="H28">
        <f t="shared" si="9"/>
        <v>104.32830951000004</v>
      </c>
      <c r="I28">
        <f t="shared" si="9"/>
        <v>110.06636653305009</v>
      </c>
      <c r="J28">
        <f t="shared" si="9"/>
        <v>115.56968485970265</v>
      </c>
      <c r="K28">
        <f t="shared" si="9"/>
        <v>120.77032067838934</v>
      </c>
      <c r="L28">
        <f t="shared" si="9"/>
        <v>125.60113350552498</v>
      </c>
      <c r="M28">
        <f t="shared" si="9"/>
        <v>129.99717317821847</v>
      </c>
      <c r="N28">
        <f t="shared" si="9"/>
        <v>133.89708837356517</v>
      </c>
      <c r="O28">
        <f>SUM(D26:N28)</f>
        <v>3345.974105847299</v>
      </c>
    </row>
    <row r="29" ht="12.75">
      <c r="A29" t="s">
        <v>27</v>
      </c>
    </row>
    <row r="30" spans="1:14" ht="12.75">
      <c r="A30" t="s">
        <v>17</v>
      </c>
      <c r="D30">
        <f aca="true" t="shared" si="10" ref="D30:N30">D26/(D26+D27+D28)*100</f>
        <v>40.04992172097295</v>
      </c>
      <c r="E30">
        <f t="shared" si="10"/>
        <v>40.53702196908055</v>
      </c>
      <c r="F30">
        <f t="shared" si="10"/>
        <v>40.53702196908055</v>
      </c>
      <c r="G30">
        <f t="shared" si="10"/>
        <v>40.53702196908056</v>
      </c>
      <c r="H30">
        <f t="shared" si="10"/>
        <v>40.53702196908056</v>
      </c>
      <c r="I30">
        <f t="shared" si="10"/>
        <v>40.53702196908055</v>
      </c>
      <c r="J30">
        <f t="shared" si="10"/>
        <v>40.53702196908056</v>
      </c>
      <c r="K30">
        <f t="shared" si="10"/>
        <v>40.537021969080556</v>
      </c>
      <c r="L30">
        <f t="shared" si="10"/>
        <v>40.537021969080556</v>
      </c>
      <c r="M30">
        <f t="shared" si="10"/>
        <v>40.537021969080556</v>
      </c>
      <c r="N30">
        <f t="shared" si="10"/>
        <v>40.53702196908055</v>
      </c>
    </row>
    <row r="31" spans="1:14" ht="12.75">
      <c r="A31" t="s">
        <v>18</v>
      </c>
      <c r="D31">
        <f aca="true" t="shared" si="11" ref="D31:N31">D27/(D27+D28+D26)*100</f>
        <v>25.233982945421733</v>
      </c>
      <c r="E31">
        <f t="shared" si="11"/>
        <v>24.324654190398697</v>
      </c>
      <c r="F31">
        <f t="shared" si="11"/>
        <v>24.324654190398697</v>
      </c>
      <c r="G31">
        <f t="shared" si="11"/>
        <v>24.324654190398697</v>
      </c>
      <c r="H31">
        <f t="shared" si="11"/>
        <v>24.324654190398697</v>
      </c>
      <c r="I31">
        <f t="shared" si="11"/>
        <v>24.324654190398697</v>
      </c>
      <c r="J31">
        <f t="shared" si="11"/>
        <v>24.324654190398697</v>
      </c>
      <c r="K31">
        <f t="shared" si="11"/>
        <v>24.324654190398697</v>
      </c>
      <c r="L31">
        <f t="shared" si="11"/>
        <v>24.3246541903987</v>
      </c>
      <c r="M31">
        <f t="shared" si="11"/>
        <v>24.324654190398697</v>
      </c>
      <c r="N31">
        <f t="shared" si="11"/>
        <v>24.324654190398697</v>
      </c>
    </row>
    <row r="32" spans="1:14" ht="12.75">
      <c r="A32" t="s">
        <v>19</v>
      </c>
      <c r="D32">
        <f aca="true" t="shared" si="12" ref="D32:N32">D28/(D26+D27+D28)*100</f>
        <v>34.71609533360532</v>
      </c>
      <c r="E32">
        <f t="shared" si="12"/>
        <v>35.13832384052075</v>
      </c>
      <c r="F32">
        <f t="shared" si="12"/>
        <v>35.13832384052075</v>
      </c>
      <c r="G32">
        <f t="shared" si="12"/>
        <v>35.138323840520755</v>
      </c>
      <c r="H32">
        <f t="shared" si="12"/>
        <v>35.13832384052075</v>
      </c>
      <c r="I32">
        <f t="shared" si="12"/>
        <v>35.13832384052075</v>
      </c>
      <c r="J32">
        <f t="shared" si="12"/>
        <v>35.138323840520755</v>
      </c>
      <c r="K32">
        <f t="shared" si="12"/>
        <v>35.13832384052074</v>
      </c>
      <c r="L32">
        <f t="shared" si="12"/>
        <v>35.138323840520755</v>
      </c>
      <c r="M32">
        <f t="shared" si="12"/>
        <v>35.13832384052075</v>
      </c>
      <c r="N32">
        <f t="shared" si="12"/>
        <v>35.138323840520755</v>
      </c>
    </row>
    <row r="33" ht="12.75">
      <c r="A33" t="s">
        <v>28</v>
      </c>
    </row>
    <row r="34" spans="1:14" ht="12.75">
      <c r="A34" t="s">
        <v>17</v>
      </c>
      <c r="D34">
        <f aca="true" t="shared" si="13" ref="D34:N34">D26/D7*1000</f>
        <v>369.037037037037</v>
      </c>
      <c r="E34">
        <f t="shared" si="13"/>
        <v>369.03703703703707</v>
      </c>
      <c r="F34">
        <f t="shared" si="13"/>
        <v>394.8696296296296</v>
      </c>
      <c r="G34">
        <f t="shared" si="13"/>
        <v>420.5361555555557</v>
      </c>
      <c r="H34">
        <f t="shared" si="13"/>
        <v>445.76832488888914</v>
      </c>
      <c r="I34">
        <f t="shared" si="13"/>
        <v>470.28558275777823</v>
      </c>
      <c r="J34">
        <f t="shared" si="13"/>
        <v>493.7998618956674</v>
      </c>
      <c r="K34">
        <f t="shared" si="13"/>
        <v>516.0208556809727</v>
      </c>
      <c r="L34">
        <f t="shared" si="13"/>
        <v>536.6616899082119</v>
      </c>
      <c r="M34">
        <f t="shared" si="13"/>
        <v>555.4448490549998</v>
      </c>
      <c r="N34">
        <f t="shared" si="13"/>
        <v>572.1081945266502</v>
      </c>
    </row>
    <row r="35" spans="1:14" ht="12.75">
      <c r="A35" t="s">
        <v>18</v>
      </c>
      <c r="D35">
        <f aca="true" t="shared" si="14" ref="D35:N35">D27/D8*1000</f>
        <v>664.3333333333334</v>
      </c>
      <c r="E35">
        <f t="shared" si="14"/>
        <v>664.3333333333334</v>
      </c>
      <c r="F35">
        <f t="shared" si="14"/>
        <v>710.8366666666667</v>
      </c>
      <c r="G35">
        <f t="shared" si="14"/>
        <v>757.0410500000003</v>
      </c>
      <c r="H35">
        <f t="shared" si="14"/>
        <v>802.4635130000004</v>
      </c>
      <c r="I35">
        <f t="shared" si="14"/>
        <v>846.5990062150006</v>
      </c>
      <c r="J35">
        <f t="shared" si="14"/>
        <v>888.928956525751</v>
      </c>
      <c r="K35">
        <f t="shared" si="14"/>
        <v>928.9307595694105</v>
      </c>
      <c r="L35">
        <f t="shared" si="14"/>
        <v>966.0879899521875</v>
      </c>
      <c r="M35">
        <f t="shared" si="14"/>
        <v>999.9010696005149</v>
      </c>
      <c r="N35">
        <f t="shared" si="14"/>
        <v>1029.8981016885314</v>
      </c>
    </row>
    <row r="36" spans="1:14" ht="12.75">
      <c r="A36" t="s">
        <v>19</v>
      </c>
      <c r="D36">
        <f aca="true" t="shared" si="15" ref="D36:N36">D28/D9*1000</f>
        <v>639.7777777777778</v>
      </c>
      <c r="E36">
        <f t="shared" si="15"/>
        <v>639.7777777777778</v>
      </c>
      <c r="F36">
        <f t="shared" si="15"/>
        <v>684.5622222222223</v>
      </c>
      <c r="G36">
        <f t="shared" si="15"/>
        <v>729.0587666666669</v>
      </c>
      <c r="H36">
        <f t="shared" si="15"/>
        <v>772.802292666667</v>
      </c>
      <c r="I36">
        <f t="shared" si="15"/>
        <v>815.306418763334</v>
      </c>
      <c r="J36">
        <f t="shared" si="15"/>
        <v>856.0717397015011</v>
      </c>
      <c r="K36">
        <f t="shared" si="15"/>
        <v>894.5949679880691</v>
      </c>
      <c r="L36">
        <f t="shared" si="15"/>
        <v>930.3787667075925</v>
      </c>
      <c r="M36">
        <f t="shared" si="15"/>
        <v>962.942023542359</v>
      </c>
      <c r="N36">
        <f t="shared" si="15"/>
        <v>991.8302842486308</v>
      </c>
    </row>
    <row r="37" ht="12.75">
      <c r="A37" t="s">
        <v>29</v>
      </c>
    </row>
    <row r="38" spans="1:14" ht="12.75">
      <c r="A38" t="s">
        <v>17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</row>
    <row r="39" spans="1:14" ht="12.75">
      <c r="A39" t="s">
        <v>18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</row>
    <row r="40" spans="1:14" ht="12.75">
      <c r="A40" t="s">
        <v>19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>
        <v>30</v>
      </c>
      <c r="K40">
        <v>30</v>
      </c>
      <c r="L40">
        <v>30</v>
      </c>
      <c r="M40">
        <v>30</v>
      </c>
      <c r="N40">
        <v>30</v>
      </c>
    </row>
    <row r="41" ht="12.75">
      <c r="A41" t="s">
        <v>30</v>
      </c>
    </row>
    <row r="42" spans="1:14" ht="12.75">
      <c r="A42" t="s">
        <v>17</v>
      </c>
      <c r="D42">
        <f aca="true" t="shared" si="16" ref="D42:N42">D34*(1+D38/100)</f>
        <v>461.29629629629625</v>
      </c>
      <c r="E42">
        <f t="shared" si="16"/>
        <v>461.2962962962963</v>
      </c>
      <c r="F42">
        <f t="shared" si="16"/>
        <v>493.587037037037</v>
      </c>
      <c r="G42">
        <f t="shared" si="16"/>
        <v>525.6701944444446</v>
      </c>
      <c r="H42">
        <f t="shared" si="16"/>
        <v>557.2104061111114</v>
      </c>
      <c r="I42">
        <f t="shared" si="16"/>
        <v>587.8569784472228</v>
      </c>
      <c r="J42">
        <f t="shared" si="16"/>
        <v>617.2498273695842</v>
      </c>
      <c r="K42">
        <f t="shared" si="16"/>
        <v>645.0260696012158</v>
      </c>
      <c r="L42">
        <f t="shared" si="16"/>
        <v>670.8271123852649</v>
      </c>
      <c r="M42">
        <f t="shared" si="16"/>
        <v>694.3060613187498</v>
      </c>
      <c r="N42">
        <f t="shared" si="16"/>
        <v>715.1352431583127</v>
      </c>
    </row>
    <row r="43" spans="1:14" ht="12.75">
      <c r="A43" t="s">
        <v>18</v>
      </c>
      <c r="D43">
        <f aca="true" t="shared" si="17" ref="D43:N43">D35*(1+D39/100)</f>
        <v>797.2</v>
      </c>
      <c r="E43">
        <f t="shared" si="17"/>
        <v>797.2</v>
      </c>
      <c r="F43">
        <f t="shared" si="17"/>
        <v>853.004</v>
      </c>
      <c r="G43">
        <f t="shared" si="17"/>
        <v>908.4492600000003</v>
      </c>
      <c r="H43">
        <f t="shared" si="17"/>
        <v>962.9562156000004</v>
      </c>
      <c r="I43">
        <f t="shared" si="17"/>
        <v>1015.9188074580006</v>
      </c>
      <c r="J43">
        <f t="shared" si="17"/>
        <v>1066.7147478309012</v>
      </c>
      <c r="K43">
        <f t="shared" si="17"/>
        <v>1114.7169114832925</v>
      </c>
      <c r="L43">
        <f t="shared" si="17"/>
        <v>1159.305587942625</v>
      </c>
      <c r="M43">
        <f t="shared" si="17"/>
        <v>1199.881283520618</v>
      </c>
      <c r="N43">
        <f t="shared" si="17"/>
        <v>1235.8777220262375</v>
      </c>
    </row>
    <row r="44" spans="1:14" ht="12.75">
      <c r="A44" t="s">
        <v>19</v>
      </c>
      <c r="D44">
        <f aca="true" t="shared" si="18" ref="D44:N44">D36*(1+D40/100)</f>
        <v>831.7111111111112</v>
      </c>
      <c r="E44">
        <f t="shared" si="18"/>
        <v>831.7111111111112</v>
      </c>
      <c r="F44">
        <f t="shared" si="18"/>
        <v>889.9308888888891</v>
      </c>
      <c r="G44">
        <f t="shared" si="18"/>
        <v>947.776396666667</v>
      </c>
      <c r="H44">
        <f t="shared" si="18"/>
        <v>1004.6429804666672</v>
      </c>
      <c r="I44">
        <f t="shared" si="18"/>
        <v>1059.8983443923344</v>
      </c>
      <c r="J44">
        <f t="shared" si="18"/>
        <v>1112.8932616119514</v>
      </c>
      <c r="K44">
        <f t="shared" si="18"/>
        <v>1162.97345838449</v>
      </c>
      <c r="L44">
        <f t="shared" si="18"/>
        <v>1209.4923967198704</v>
      </c>
      <c r="M44">
        <f t="shared" si="18"/>
        <v>1251.824630605067</v>
      </c>
      <c r="N44">
        <f t="shared" si="18"/>
        <v>1289.3793695232202</v>
      </c>
    </row>
    <row r="45" ht="12.75">
      <c r="A45" t="s">
        <v>31</v>
      </c>
    </row>
    <row r="46" spans="1:14" ht="12.75">
      <c r="A46" t="s">
        <v>17</v>
      </c>
      <c r="D46">
        <f aca="true" t="shared" si="19" ref="D46:N46">D42*D7/1000</f>
        <v>83.03333333333333</v>
      </c>
      <c r="E46">
        <f t="shared" si="19"/>
        <v>124.55</v>
      </c>
      <c r="F46">
        <f t="shared" si="19"/>
        <v>133.2685</v>
      </c>
      <c r="G46">
        <f t="shared" si="19"/>
        <v>141.93095250000005</v>
      </c>
      <c r="H46">
        <f t="shared" si="19"/>
        <v>150.44680965000006</v>
      </c>
      <c r="I46">
        <f t="shared" si="19"/>
        <v>158.72138418075014</v>
      </c>
      <c r="J46">
        <f t="shared" si="19"/>
        <v>166.65745338978772</v>
      </c>
      <c r="K46">
        <f t="shared" si="19"/>
        <v>174.15703879232828</v>
      </c>
      <c r="L46">
        <f t="shared" si="19"/>
        <v>181.12332034402152</v>
      </c>
      <c r="M46">
        <f t="shared" si="19"/>
        <v>187.46263655606245</v>
      </c>
      <c r="N46">
        <f t="shared" si="19"/>
        <v>193.08651565274445</v>
      </c>
    </row>
    <row r="47" spans="1:14" ht="12.75">
      <c r="A47" t="s">
        <v>18</v>
      </c>
      <c r="D47">
        <f aca="true" t="shared" si="20" ref="D47:N47">D43*D8/1000</f>
        <v>50.223600000000005</v>
      </c>
      <c r="E47">
        <f t="shared" si="20"/>
        <v>71.748</v>
      </c>
      <c r="F47">
        <f t="shared" si="20"/>
        <v>76.77036</v>
      </c>
      <c r="G47">
        <f t="shared" si="20"/>
        <v>81.76043340000003</v>
      </c>
      <c r="H47">
        <f t="shared" si="20"/>
        <v>86.66605940400004</v>
      </c>
      <c r="I47">
        <f t="shared" si="20"/>
        <v>91.43269267122005</v>
      </c>
      <c r="J47">
        <f t="shared" si="20"/>
        <v>96.00432730478111</v>
      </c>
      <c r="K47">
        <f t="shared" si="20"/>
        <v>100.32452203349632</v>
      </c>
      <c r="L47">
        <f t="shared" si="20"/>
        <v>104.33750291483624</v>
      </c>
      <c r="M47">
        <f t="shared" si="20"/>
        <v>107.98931551685561</v>
      </c>
      <c r="N47">
        <f t="shared" si="20"/>
        <v>111.22899498236137</v>
      </c>
    </row>
    <row r="48" spans="1:15" ht="12.75">
      <c r="A48" t="s">
        <v>19</v>
      </c>
      <c r="D48">
        <f aca="true" t="shared" si="21" ref="D48:N48">D44*D9/1000</f>
        <v>74.85400000000001</v>
      </c>
      <c r="E48">
        <f t="shared" si="21"/>
        <v>112.28100000000002</v>
      </c>
      <c r="F48">
        <f t="shared" si="21"/>
        <v>120.14067000000003</v>
      </c>
      <c r="G48">
        <f t="shared" si="21"/>
        <v>127.94981355000004</v>
      </c>
      <c r="H48">
        <f t="shared" si="21"/>
        <v>135.62680236300005</v>
      </c>
      <c r="I48">
        <f t="shared" si="21"/>
        <v>143.08627649296514</v>
      </c>
      <c r="J48">
        <f t="shared" si="21"/>
        <v>150.24059031761345</v>
      </c>
      <c r="K48">
        <f t="shared" si="21"/>
        <v>157.00141688190612</v>
      </c>
      <c r="L48">
        <f t="shared" si="21"/>
        <v>163.2814735571825</v>
      </c>
      <c r="M48">
        <f t="shared" si="21"/>
        <v>168.99632513168402</v>
      </c>
      <c r="N48">
        <f t="shared" si="21"/>
        <v>174.0662148856347</v>
      </c>
      <c r="O48">
        <f>SUM(D46:N48)</f>
        <v>4200.4483358065645</v>
      </c>
    </row>
    <row r="49" spans="1:15" ht="12.75">
      <c r="A49" t="s">
        <v>32</v>
      </c>
      <c r="D49">
        <f aca="true" t="shared" si="22" ref="D49:N49">(D46+D47+D48)-(D26+D27+D28)</f>
        <v>42.25126666666668</v>
      </c>
      <c r="E49">
        <f t="shared" si="22"/>
        <v>62.778999999999996</v>
      </c>
      <c r="F49">
        <f t="shared" si="22"/>
        <v>67.17352999999997</v>
      </c>
      <c r="G49">
        <f t="shared" si="22"/>
        <v>71.53980945000006</v>
      </c>
      <c r="H49">
        <f t="shared" si="22"/>
        <v>75.83219801700005</v>
      </c>
      <c r="I49">
        <f t="shared" si="22"/>
        <v>80.00296890793504</v>
      </c>
      <c r="J49">
        <f t="shared" si="22"/>
        <v>84.0031173533319</v>
      </c>
      <c r="K49">
        <f t="shared" si="22"/>
        <v>87.78325763423175</v>
      </c>
      <c r="L49">
        <f t="shared" si="22"/>
        <v>91.29458793960123</v>
      </c>
      <c r="M49">
        <f t="shared" si="22"/>
        <v>94.48989851748729</v>
      </c>
      <c r="N49">
        <f t="shared" si="22"/>
        <v>97.32459547301204</v>
      </c>
      <c r="O49">
        <f>SUM(D49:N49)</f>
        <v>854.474229959266</v>
      </c>
    </row>
    <row r="50" spans="1:14" ht="12.75">
      <c r="A50" t="s">
        <v>33</v>
      </c>
      <c r="D50">
        <f aca="true" t="shared" si="23" ref="D50:N50">(D26+D27+D28)/10</f>
        <v>16.585966666666668</v>
      </c>
      <c r="E50">
        <f t="shared" si="23"/>
        <v>24.580000000000002</v>
      </c>
      <c r="F50">
        <f t="shared" si="23"/>
        <v>26.300600000000003</v>
      </c>
      <c r="G50">
        <f t="shared" si="23"/>
        <v>28.010139000000002</v>
      </c>
      <c r="H50">
        <f t="shared" si="23"/>
        <v>29.690747340000012</v>
      </c>
      <c r="I50">
        <f t="shared" si="23"/>
        <v>31.32373844370003</v>
      </c>
      <c r="J50">
        <f t="shared" si="23"/>
        <v>32.88992536588504</v>
      </c>
      <c r="K50">
        <f t="shared" si="23"/>
        <v>34.369972007349894</v>
      </c>
      <c r="L50">
        <f t="shared" si="23"/>
        <v>35.7447708876439</v>
      </c>
      <c r="M50">
        <f t="shared" si="23"/>
        <v>36.995837868711476</v>
      </c>
      <c r="N50">
        <f t="shared" si="23"/>
        <v>38.10571300477285</v>
      </c>
    </row>
    <row r="51" spans="1:14" ht="12.75">
      <c r="A51" t="s">
        <v>34</v>
      </c>
      <c r="B51">
        <f aca="true" t="shared" si="24" ref="B51:G51">B11*0.2</f>
        <v>20</v>
      </c>
      <c r="C51">
        <f t="shared" si="24"/>
        <v>40</v>
      </c>
      <c r="D51">
        <f t="shared" si="24"/>
        <v>50</v>
      </c>
      <c r="E51">
        <f t="shared" si="24"/>
        <v>42.360200000000006</v>
      </c>
      <c r="F51">
        <f t="shared" si="24"/>
        <v>34.18561400000001</v>
      </c>
      <c r="G51">
        <f t="shared" si="24"/>
        <v>25.47967991</v>
      </c>
      <c r="H51">
        <v>0</v>
      </c>
      <c r="I51">
        <f aca="true" t="shared" si="25" ref="I51:N51">I11*0.2</f>
        <v>0</v>
      </c>
      <c r="J51">
        <f t="shared" si="25"/>
        <v>0</v>
      </c>
      <c r="K51">
        <f t="shared" si="25"/>
        <v>0</v>
      </c>
      <c r="L51">
        <f t="shared" si="25"/>
        <v>0</v>
      </c>
      <c r="M51">
        <f t="shared" si="25"/>
        <v>0</v>
      </c>
      <c r="N51">
        <f t="shared" si="25"/>
        <v>0</v>
      </c>
    </row>
    <row r="52" spans="1:4" ht="12.75">
      <c r="A52" t="s">
        <v>35</v>
      </c>
      <c r="B52">
        <f>-(B49-B50-B51)</f>
        <v>20</v>
      </c>
      <c r="C52">
        <f>-(C49-C50-C51)+B53</f>
        <v>44</v>
      </c>
      <c r="D52">
        <f>-(D49-D50-D51)+C53</f>
        <v>32.69469999999998</v>
      </c>
    </row>
    <row r="53" spans="1:4" ht="12.75">
      <c r="A53" t="s">
        <v>36</v>
      </c>
      <c r="B53">
        <f>B52*0.2</f>
        <v>4</v>
      </c>
      <c r="C53">
        <f>C52*0.19</f>
        <v>8.36</v>
      </c>
      <c r="D53">
        <f>D52*0.18</f>
        <v>5.8850459999999964</v>
      </c>
    </row>
    <row r="54" spans="1:15" ht="12.75">
      <c r="A54" t="s">
        <v>37</v>
      </c>
      <c r="B54">
        <f>-B51-B53</f>
        <v>-24</v>
      </c>
      <c r="C54">
        <f>-C51-C53</f>
        <v>-48.36</v>
      </c>
      <c r="D54">
        <f aca="true" t="shared" si="26" ref="D54:N54">D49-D50-D51-D53</f>
        <v>-30.219745999999983</v>
      </c>
      <c r="E54">
        <f t="shared" si="26"/>
        <v>-4.161200000000008</v>
      </c>
      <c r="F54">
        <f t="shared" si="26"/>
        <v>6.68731599999996</v>
      </c>
      <c r="G54">
        <f t="shared" si="26"/>
        <v>18.04999054000006</v>
      </c>
      <c r="H54">
        <f t="shared" si="26"/>
        <v>46.14145067700004</v>
      </c>
      <c r="I54">
        <f t="shared" si="26"/>
        <v>48.67923046423501</v>
      </c>
      <c r="J54">
        <f t="shared" si="26"/>
        <v>51.11319198744686</v>
      </c>
      <c r="K54">
        <f t="shared" si="26"/>
        <v>53.41328562688185</v>
      </c>
      <c r="L54">
        <f t="shared" si="26"/>
        <v>55.549817051957326</v>
      </c>
      <c r="M54">
        <f t="shared" si="26"/>
        <v>57.494060648775815</v>
      </c>
      <c r="N54">
        <f t="shared" si="26"/>
        <v>59.21888246823919</v>
      </c>
      <c r="O54">
        <f>SUM(B54:N54)</f>
        <v>289.6062794645361</v>
      </c>
    </row>
    <row r="55" spans="1:14" ht="12.75">
      <c r="A55" t="s">
        <v>38</v>
      </c>
      <c r="B55">
        <v>0</v>
      </c>
      <c r="C55">
        <v>0</v>
      </c>
      <c r="D55">
        <v>0</v>
      </c>
      <c r="E55">
        <f aca="true" t="shared" si="27" ref="E55:N55">E54*0.3</f>
        <v>-1.2483600000000024</v>
      </c>
      <c r="F55">
        <f t="shared" si="27"/>
        <v>2.006194799999988</v>
      </c>
      <c r="G55">
        <f t="shared" si="27"/>
        <v>5.4149971620000175</v>
      </c>
      <c r="H55">
        <f t="shared" si="27"/>
        <v>13.842435203100012</v>
      </c>
      <c r="I55">
        <f t="shared" si="27"/>
        <v>14.603769139270502</v>
      </c>
      <c r="J55">
        <f t="shared" si="27"/>
        <v>15.333957596234058</v>
      </c>
      <c r="K55">
        <f t="shared" si="27"/>
        <v>16.023985688064556</v>
      </c>
      <c r="L55">
        <f t="shared" si="27"/>
        <v>16.664945115587198</v>
      </c>
      <c r="M55">
        <f t="shared" si="27"/>
        <v>17.248218194632745</v>
      </c>
      <c r="N55">
        <f t="shared" si="27"/>
        <v>17.765664740471756</v>
      </c>
    </row>
    <row r="56" spans="1:15" ht="12.75">
      <c r="A56" t="s">
        <v>39</v>
      </c>
      <c r="B56">
        <f aca="true" t="shared" si="28" ref="B56:N56">B54-B55</f>
        <v>-24</v>
      </c>
      <c r="C56">
        <f t="shared" si="28"/>
        <v>-48.36</v>
      </c>
      <c r="D56">
        <f t="shared" si="28"/>
        <v>-30.219745999999983</v>
      </c>
      <c r="E56">
        <f t="shared" si="28"/>
        <v>-2.9128400000000054</v>
      </c>
      <c r="F56">
        <f t="shared" si="28"/>
        <v>4.681121199999972</v>
      </c>
      <c r="G56">
        <f t="shared" si="28"/>
        <v>12.634993378000043</v>
      </c>
      <c r="H56">
        <f t="shared" si="28"/>
        <v>32.29901547390003</v>
      </c>
      <c r="I56">
        <f t="shared" si="28"/>
        <v>34.07546132496451</v>
      </c>
      <c r="J56">
        <f t="shared" si="28"/>
        <v>35.7792343912128</v>
      </c>
      <c r="K56">
        <f t="shared" si="28"/>
        <v>37.389299938817295</v>
      </c>
      <c r="L56">
        <f t="shared" si="28"/>
        <v>38.88487193637013</v>
      </c>
      <c r="M56">
        <f t="shared" si="28"/>
        <v>40.24584245414307</v>
      </c>
      <c r="N56">
        <f t="shared" si="28"/>
        <v>41.45321772776743</v>
      </c>
      <c r="O56">
        <f>SUM(B56:N56)</f>
        <v>171.9504718251753</v>
      </c>
    </row>
    <row r="57" spans="1:14" ht="12.75">
      <c r="A57" t="s">
        <v>40</v>
      </c>
      <c r="C57">
        <f>0.208*3</f>
        <v>0.624</v>
      </c>
      <c r="D57">
        <f>0.208*12+1.875*5</f>
        <v>11.871</v>
      </c>
      <c r="E57">
        <f aca="true" t="shared" si="29" ref="E57:M57">0.208*12+1.875*12</f>
        <v>24.996</v>
      </c>
      <c r="F57">
        <f t="shared" si="29"/>
        <v>24.996</v>
      </c>
      <c r="G57">
        <f t="shared" si="29"/>
        <v>24.996</v>
      </c>
      <c r="H57">
        <f t="shared" si="29"/>
        <v>24.996</v>
      </c>
      <c r="I57">
        <f t="shared" si="29"/>
        <v>24.996</v>
      </c>
      <c r="J57">
        <f t="shared" si="29"/>
        <v>24.996</v>
      </c>
      <c r="K57">
        <f t="shared" si="29"/>
        <v>24.996</v>
      </c>
      <c r="L57">
        <f t="shared" si="29"/>
        <v>24.996</v>
      </c>
      <c r="M57">
        <f t="shared" si="29"/>
        <v>24.996</v>
      </c>
      <c r="N57">
        <f>1.875*7+0.208*12</f>
        <v>15.621</v>
      </c>
    </row>
    <row r="59" spans="1:14" ht="12.75">
      <c r="A59" t="s">
        <v>41</v>
      </c>
      <c r="B59">
        <f>-B10+B56</f>
        <v>-124</v>
      </c>
      <c r="C59">
        <f aca="true" t="shared" si="30" ref="C59:N59">-C10+C56+C57</f>
        <v>-147.73600000000002</v>
      </c>
      <c r="D59">
        <f t="shared" si="30"/>
        <v>-68.34874599999999</v>
      </c>
      <c r="E59">
        <f t="shared" si="30"/>
        <v>22.083159999999992</v>
      </c>
      <c r="F59">
        <f t="shared" si="30"/>
        <v>29.67712119999997</v>
      </c>
      <c r="G59">
        <f t="shared" si="30"/>
        <v>37.63099337800004</v>
      </c>
      <c r="H59">
        <f t="shared" si="30"/>
        <v>57.29501547390002</v>
      </c>
      <c r="I59">
        <f t="shared" si="30"/>
        <v>59.0714613249645</v>
      </c>
      <c r="J59">
        <f t="shared" si="30"/>
        <v>60.775234391212805</v>
      </c>
      <c r="K59">
        <f t="shared" si="30"/>
        <v>62.3852999388173</v>
      </c>
      <c r="L59">
        <f t="shared" si="30"/>
        <v>63.88087193637013</v>
      </c>
      <c r="M59">
        <f t="shared" si="30"/>
        <v>65.24184245414307</v>
      </c>
      <c r="N59">
        <f t="shared" si="30"/>
        <v>57.07421772776743</v>
      </c>
    </row>
    <row r="60" spans="1:14" ht="12.75">
      <c r="A60" t="s">
        <v>42</v>
      </c>
      <c r="B60">
        <f>B59</f>
        <v>-124</v>
      </c>
      <c r="C60">
        <f aca="true" t="shared" si="31" ref="C60:N60">C59+B60</f>
        <v>-271.736</v>
      </c>
      <c r="D60">
        <f t="shared" si="31"/>
        <v>-340.084746</v>
      </c>
      <c r="E60">
        <f t="shared" si="31"/>
        <v>-318.001586</v>
      </c>
      <c r="F60">
        <f t="shared" si="31"/>
        <v>-288.3244648</v>
      </c>
      <c r="G60">
        <f t="shared" si="31"/>
        <v>-250.69347142199996</v>
      </c>
      <c r="H60">
        <f t="shared" si="31"/>
        <v>-193.39845594809992</v>
      </c>
      <c r="I60">
        <f t="shared" si="31"/>
        <v>-134.32699462313542</v>
      </c>
      <c r="J60">
        <f t="shared" si="31"/>
        <v>-73.55176023192261</v>
      </c>
      <c r="K60">
        <f t="shared" si="31"/>
        <v>-11.166460293105317</v>
      </c>
      <c r="L60">
        <f t="shared" si="31"/>
        <v>52.71441164326481</v>
      </c>
      <c r="M60">
        <f t="shared" si="31"/>
        <v>117.95625409740788</v>
      </c>
      <c r="N60">
        <f t="shared" si="31"/>
        <v>175.0304718251753</v>
      </c>
    </row>
    <row r="62" spans="1:14" ht="12.75">
      <c r="A62" t="s">
        <v>43</v>
      </c>
      <c r="B62">
        <f>1/POWER(1.2,0.5)</f>
        <v>0.9128709291752769</v>
      </c>
      <c r="C62">
        <f>1/POWER(1.2,1.5)</f>
        <v>0.7607257743127307</v>
      </c>
      <c r="D62">
        <f>1/POWER(1.2,2.5)</f>
        <v>0.633938145260609</v>
      </c>
      <c r="E62">
        <f>1/POWER(1.2,3.5)</f>
        <v>0.5282817877171742</v>
      </c>
      <c r="F62">
        <f>1/POWER(1.2,4.5)</f>
        <v>0.44023482309764517</v>
      </c>
      <c r="G62">
        <f>1/POWER(1.2,5.5)</f>
        <v>0.36686235258137107</v>
      </c>
      <c r="H62">
        <f>1/POWER(1.2,6.5)</f>
        <v>0.3057186271511425</v>
      </c>
      <c r="I62">
        <f>1/POWER(1.2,7.5)</f>
        <v>0.25476552262595203</v>
      </c>
      <c r="J62">
        <f>1/POWER(1.2,8.5)</f>
        <v>0.21230460218829345</v>
      </c>
      <c r="K62">
        <f>1/POWER(1.2,9.5)</f>
        <v>0.17692050182357785</v>
      </c>
      <c r="L62">
        <f>1/POWER(1.2,10.5)</f>
        <v>0.14743375151964822</v>
      </c>
      <c r="M62">
        <f>1/POWER(1.2,11.5)</f>
        <v>0.12286145959970685</v>
      </c>
      <c r="N62">
        <f>1/POWER(1.2,12.5)</f>
        <v>0.1023845496664224</v>
      </c>
    </row>
    <row r="63" spans="1:14" ht="12.75">
      <c r="A63" t="s">
        <v>44</v>
      </c>
      <c r="B63">
        <f aca="true" t="shared" si="32" ref="B63:N63">B59*B62</f>
        <v>-113.19599521773434</v>
      </c>
      <c r="C63">
        <f t="shared" si="32"/>
        <v>-112.3865829938656</v>
      </c>
      <c r="D63">
        <f t="shared" si="32"/>
        <v>-43.32887727012846</v>
      </c>
      <c r="E63">
        <f t="shared" si="32"/>
        <v>11.666131243244388</v>
      </c>
      <c r="F63">
        <f t="shared" si="32"/>
        <v>13.064902201529362</v>
      </c>
      <c r="G63">
        <f t="shared" si="32"/>
        <v>13.805394760627092</v>
      </c>
      <c r="H63">
        <f t="shared" si="32"/>
        <v>17.51615347328418</v>
      </c>
      <c r="I63">
        <f t="shared" si="32"/>
        <v>15.049371716733294</v>
      </c>
      <c r="J63">
        <f t="shared" si="32"/>
        <v>12.902861960326724</v>
      </c>
      <c r="K63">
        <f t="shared" si="32"/>
        <v>11.037238571589977</v>
      </c>
      <c r="L63">
        <f t="shared" si="32"/>
        <v>9.418196599925261</v>
      </c>
      <c r="M63">
        <f t="shared" si="32"/>
        <v>8.015707990890137</v>
      </c>
      <c r="N63">
        <f t="shared" si="32"/>
        <v>5.84351807962081</v>
      </c>
    </row>
    <row r="64" spans="1:14" ht="12.75">
      <c r="A64" t="s">
        <v>45</v>
      </c>
      <c r="B64">
        <f aca="true" t="shared" si="33" ref="B64:N64">B60*B62</f>
        <v>-113.19599521773434</v>
      </c>
      <c r="C64">
        <f t="shared" si="33"/>
        <v>-206.71657900864417</v>
      </c>
      <c r="D64">
        <f t="shared" si="33"/>
        <v>-215.5926931106653</v>
      </c>
      <c r="E64">
        <f t="shared" si="33"/>
        <v>-167.99444634897668</v>
      </c>
      <c r="F64">
        <f t="shared" si="33"/>
        <v>-126.93046975595122</v>
      </c>
      <c r="G64">
        <f t="shared" si="33"/>
        <v>-91.96999670266563</v>
      </c>
      <c r="H64">
        <f t="shared" si="33"/>
        <v>-59.12551044560382</v>
      </c>
      <c r="I64">
        <f t="shared" si="33"/>
        <v>-34.22188698793654</v>
      </c>
      <c r="J64">
        <f t="shared" si="33"/>
        <v>-15.615377196287072</v>
      </c>
      <c r="K64">
        <f t="shared" si="33"/>
        <v>-1.9755757586492488</v>
      </c>
      <c r="L64">
        <f t="shared" si="33"/>
        <v>7.771883467717555</v>
      </c>
      <c r="M64">
        <f t="shared" si="33"/>
        <v>14.492277547321434</v>
      </c>
      <c r="N64">
        <f t="shared" si="33"/>
        <v>17.920416035722006</v>
      </c>
    </row>
    <row r="65" spans="1:4" ht="12.75">
      <c r="A65" t="s">
        <v>46</v>
      </c>
      <c r="B65">
        <f>B10*B62</f>
        <v>91.28709291752769</v>
      </c>
      <c r="C65">
        <f>C10*C62</f>
        <v>76.07257743127307</v>
      </c>
      <c r="D65">
        <f>D10*D62</f>
        <v>31.69690726303045</v>
      </c>
    </row>
    <row r="66" spans="1:4" ht="12.75">
      <c r="A66" t="s">
        <v>47</v>
      </c>
      <c r="B66">
        <f>B65</f>
        <v>91.28709291752769</v>
      </c>
      <c r="C66">
        <f>B66+C65</f>
        <v>167.35967034880076</v>
      </c>
      <c r="D66">
        <f>C66+D65</f>
        <v>199.05657761183122</v>
      </c>
    </row>
    <row r="67" spans="1:14" ht="12.75">
      <c r="A67" t="s">
        <v>48</v>
      </c>
      <c r="N67">
        <f>N64</f>
        <v>17.920416035722006</v>
      </c>
    </row>
    <row r="68" spans="1:14" ht="12.75">
      <c r="A68" t="s">
        <v>49</v>
      </c>
      <c r="N68">
        <f>N67/D66</f>
        <v>0.09002674641913908</v>
      </c>
    </row>
    <row r="69" spans="1:14" ht="12.75">
      <c r="A69" t="s">
        <v>50</v>
      </c>
      <c r="N69">
        <v>6.129</v>
      </c>
    </row>
    <row r="71" spans="1:14" ht="12.75">
      <c r="A71" t="s">
        <v>43</v>
      </c>
      <c r="B71">
        <f>1/POWER(1.15,0.5)</f>
        <v>0.9325048082403138</v>
      </c>
      <c r="C71">
        <f>1/POWER(1.15,1.5)</f>
        <v>0.8108737462959251</v>
      </c>
      <c r="D71">
        <f>1/POWER(1.15,2.5)</f>
        <v>0.7051076054747175</v>
      </c>
      <c r="E71">
        <f>1/POWER(1.15,3.5)</f>
        <v>0.6131370482388848</v>
      </c>
      <c r="F71">
        <f>1/POWER(1.15,4.5)</f>
        <v>0.5331626506425087</v>
      </c>
      <c r="G71">
        <f>1/POWER(1.15,5.5)</f>
        <v>0.4636196962108771</v>
      </c>
      <c r="H71">
        <f>1/POWER(1.15,6.5)</f>
        <v>0.40314756192250184</v>
      </c>
      <c r="I71">
        <f>1/POWER(1.15,7.5)</f>
        <v>0.35056309732391466</v>
      </c>
      <c r="J71">
        <f>1/POWER(1.15,8.5)</f>
        <v>0.30483747593383886</v>
      </c>
      <c r="K71">
        <f>1/POWER(1.15,9.5)</f>
        <v>0.26507606602942513</v>
      </c>
      <c r="L71">
        <f>1/POWER(1.15,10.5)</f>
        <v>0.23050092698210878</v>
      </c>
      <c r="M71">
        <f>1/POWER(1.15,11.5)</f>
        <v>0.20043558868009465</v>
      </c>
      <c r="N71">
        <f>1/POWER(1.15,12.5)</f>
        <v>0.17429181624356058</v>
      </c>
    </row>
    <row r="72" spans="1:14" ht="12.75">
      <c r="A72" t="s">
        <v>44</v>
      </c>
      <c r="B72">
        <f aca="true" t="shared" si="34" ref="B72:N72">B59*B71</f>
        <v>-115.63059622179891</v>
      </c>
      <c r="C72">
        <f t="shared" si="34"/>
        <v>-119.7952437827748</v>
      </c>
      <c r="D72">
        <f t="shared" si="34"/>
        <v>-48.19322062925967</v>
      </c>
      <c r="E72">
        <f t="shared" si="34"/>
        <v>13.540003538187007</v>
      </c>
      <c r="F72">
        <f t="shared" si="34"/>
        <v>15.822732602430971</v>
      </c>
      <c r="G72">
        <f t="shared" si="34"/>
        <v>17.44646971802191</v>
      </c>
      <c r="H72">
        <f t="shared" si="34"/>
        <v>23.09834579861481</v>
      </c>
      <c r="I72">
        <f t="shared" si="34"/>
        <v>20.70827444552939</v>
      </c>
      <c r="J72">
        <f t="shared" si="34"/>
        <v>18.52656905110475</v>
      </c>
      <c r="K72">
        <f t="shared" si="34"/>
        <v>16.536849885847424</v>
      </c>
      <c r="L72">
        <f t="shared" si="34"/>
        <v>14.724600197758692</v>
      </c>
      <c r="M72">
        <f t="shared" si="34"/>
        <v>13.076787098870156</v>
      </c>
      <c r="N72">
        <f t="shared" si="34"/>
        <v>9.947569068453008</v>
      </c>
    </row>
    <row r="73" spans="1:14" ht="12.75">
      <c r="A73" t="s">
        <v>45</v>
      </c>
      <c r="B73">
        <f aca="true" t="shared" si="35" ref="B73:N73">B60*B71</f>
        <v>-115.63059622179891</v>
      </c>
      <c r="C73">
        <f t="shared" si="35"/>
        <v>-220.3435883234695</v>
      </c>
      <c r="D73">
        <f t="shared" si="35"/>
        <v>-239.7963409105375</v>
      </c>
      <c r="E73">
        <f t="shared" si="35"/>
        <v>-194.97855377532386</v>
      </c>
      <c r="F73">
        <f t="shared" si="35"/>
        <v>-153.72383589785068</v>
      </c>
      <c r="G73">
        <f t="shared" si="35"/>
        <v>-116.22643106271782</v>
      </c>
      <c r="H73">
        <f t="shared" si="35"/>
        <v>-77.96811599505286</v>
      </c>
      <c r="I73">
        <f t="shared" si="35"/>
        <v>-47.090087289299184</v>
      </c>
      <c r="J73">
        <f t="shared" si="35"/>
        <v>-22.421332939590197</v>
      </c>
      <c r="K73">
        <f t="shared" si="35"/>
        <v>-2.959961365970139</v>
      </c>
      <c r="L73">
        <f t="shared" si="35"/>
        <v>12.150720749089007</v>
      </c>
      <c r="M73">
        <f t="shared" si="35"/>
        <v>23.642631228512773</v>
      </c>
      <c r="N73">
        <f t="shared" si="35"/>
        <v>30.506378832377163</v>
      </c>
    </row>
    <row r="74" spans="1:4" ht="12.75">
      <c r="A74" t="s">
        <v>46</v>
      </c>
      <c r="B74">
        <f>B10*B71</f>
        <v>93.25048082403138</v>
      </c>
      <c r="C74">
        <f>C10*C71</f>
        <v>81.08737462959252</v>
      </c>
      <c r="D74">
        <f>D10*D71</f>
        <v>35.255380273735874</v>
      </c>
    </row>
    <row r="75" spans="1:4" ht="12.75">
      <c r="A75" t="s">
        <v>47</v>
      </c>
      <c r="B75">
        <f>B74</f>
        <v>93.25048082403138</v>
      </c>
      <c r="C75">
        <f>B75+C74</f>
        <v>174.3378554536239</v>
      </c>
      <c r="D75">
        <f>C75+D74</f>
        <v>209.59323572735977</v>
      </c>
    </row>
    <row r="76" spans="1:14" ht="12.75">
      <c r="A76" t="s">
        <v>48</v>
      </c>
      <c r="N76">
        <f>N73</f>
        <v>30.506378832377163</v>
      </c>
    </row>
    <row r="77" spans="1:14" ht="12.75">
      <c r="A77" t="s">
        <v>49</v>
      </c>
      <c r="N77">
        <f>N76/D75</f>
        <v>0.1455503977812531</v>
      </c>
    </row>
    <row r="78" ht="12.75">
      <c r="A78" t="s">
        <v>50</v>
      </c>
    </row>
    <row r="80" spans="1:14" ht="12.75">
      <c r="A80" t="s">
        <v>43</v>
      </c>
      <c r="B80">
        <f>1/POWER(1.25,0.5)</f>
        <v>0.8944271909999159</v>
      </c>
      <c r="C80">
        <f>1/POWER(1.25,1.5)</f>
        <v>0.7155417527999327</v>
      </c>
      <c r="D80">
        <f>1/POWER(1.25,2.5)</f>
        <v>0.5724334022399462</v>
      </c>
      <c r="E80">
        <f>1/POWER(1.25,3.5)</f>
        <v>0.4579467217919569</v>
      </c>
      <c r="F80">
        <f>1/POWER(1.25,4.5)</f>
        <v>0.36635737743356556</v>
      </c>
      <c r="G80">
        <f>1/POWER(1.25,5.5)</f>
        <v>0.29308590194685247</v>
      </c>
      <c r="H80">
        <f>1/POWER(1.25,6.5)</f>
        <v>0.2344687215574819</v>
      </c>
      <c r="I80">
        <f>1/POWER(1.25,7.5)</f>
        <v>0.18757497724598554</v>
      </c>
      <c r="J80">
        <f>1/POWER(1.25,8.5)</f>
        <v>0.15005998179678842</v>
      </c>
      <c r="K80">
        <f>1/POWER(1.25,9.5)</f>
        <v>0.12004798543743075</v>
      </c>
      <c r="L80">
        <f>1/POWER(1.25,10.5)</f>
        <v>0.09603838834994462</v>
      </c>
      <c r="M80">
        <f>1/POWER(1.25,11.5)</f>
        <v>0.0768307106799557</v>
      </c>
      <c r="N80">
        <f>1/POWER(1.25,12.5)</f>
        <v>0.06146456854396452</v>
      </c>
    </row>
    <row r="81" spans="1:14" ht="12.75">
      <c r="A81" t="s">
        <v>44</v>
      </c>
      <c r="B81">
        <f aca="true" t="shared" si="36" ref="B81:N81">B59*B80</f>
        <v>-110.90897168398956</v>
      </c>
      <c r="C81">
        <f t="shared" si="36"/>
        <v>-105.71127639165087</v>
      </c>
      <c r="D81">
        <f t="shared" si="36"/>
        <v>-39.125105211613906</v>
      </c>
      <c r="E81">
        <f t="shared" si="36"/>
        <v>10.112910728807266</v>
      </c>
      <c r="F81">
        <f t="shared" si="36"/>
        <v>10.872432292610059</v>
      </c>
      <c r="G81">
        <f t="shared" si="36"/>
        <v>11.029113635347175</v>
      </c>
      <c r="H81">
        <f t="shared" si="36"/>
        <v>13.433889029781483</v>
      </c>
      <c r="I81">
        <f t="shared" si="36"/>
        <v>11.080328013917331</v>
      </c>
      <c r="J81">
        <f t="shared" si="36"/>
        <v>9.119930566440944</v>
      </c>
      <c r="K81">
        <f t="shared" si="36"/>
        <v>7.489229578564888</v>
      </c>
      <c r="L81">
        <f t="shared" si="36"/>
        <v>6.135015987158193</v>
      </c>
      <c r="M81">
        <f t="shared" si="36"/>
        <v>5.012577121821517</v>
      </c>
      <c r="N81">
        <f t="shared" si="36"/>
        <v>3.5080421676215163</v>
      </c>
    </row>
    <row r="82" spans="1:14" ht="12.75">
      <c r="A82" t="s">
        <v>45</v>
      </c>
      <c r="B82">
        <f aca="true" t="shared" si="37" ref="B82:N82">B60*B80</f>
        <v>-110.90897168398956</v>
      </c>
      <c r="C82">
        <f t="shared" si="37"/>
        <v>-194.4384537388425</v>
      </c>
      <c r="D82">
        <f t="shared" si="37"/>
        <v>-194.67586820268792</v>
      </c>
      <c r="E82">
        <f t="shared" si="37"/>
        <v>-145.62778383334305</v>
      </c>
      <c r="F82">
        <f t="shared" si="37"/>
        <v>-105.62979477406438</v>
      </c>
      <c r="G82">
        <f t="shared" si="37"/>
        <v>-73.47472218390435</v>
      </c>
      <c r="H82">
        <f t="shared" si="37"/>
        <v>-45.34588871734197</v>
      </c>
      <c r="I82">
        <f t="shared" si="37"/>
        <v>-25.19638295995625</v>
      </c>
      <c r="J82">
        <f t="shared" si="37"/>
        <v>-11.037175801524054</v>
      </c>
      <c r="K82">
        <f t="shared" si="37"/>
        <v>-1.3405110626543557</v>
      </c>
      <c r="L82">
        <f t="shared" si="37"/>
        <v>5.062607137034708</v>
      </c>
      <c r="M82">
        <f t="shared" si="37"/>
        <v>9.062662831449284</v>
      </c>
      <c r="N82">
        <f t="shared" si="37"/>
        <v>10.75817243278094</v>
      </c>
    </row>
    <row r="83" spans="1:4" ht="12.75">
      <c r="A83" t="s">
        <v>46</v>
      </c>
      <c r="B83">
        <f>B10*B80</f>
        <v>89.44271909999159</v>
      </c>
      <c r="C83">
        <f>C10*C80</f>
        <v>71.55417527999327</v>
      </c>
      <c r="D83">
        <f>D10*D80</f>
        <v>28.62167011199731</v>
      </c>
    </row>
    <row r="84" spans="1:4" ht="12.75">
      <c r="A84" t="s">
        <v>47</v>
      </c>
      <c r="B84">
        <f>B83</f>
        <v>89.44271909999159</v>
      </c>
      <c r="C84">
        <f>B84+C83</f>
        <v>160.99689437998487</v>
      </c>
      <c r="D84">
        <f>C84+D83</f>
        <v>189.61856449198217</v>
      </c>
    </row>
    <row r="85" spans="1:14" ht="12.75">
      <c r="A85" t="s">
        <v>48</v>
      </c>
      <c r="N85">
        <f>N82</f>
        <v>10.75817243278094</v>
      </c>
    </row>
    <row r="86" spans="1:14" ht="12.75">
      <c r="A86" t="s">
        <v>49</v>
      </c>
      <c r="N86">
        <f>N85/D84</f>
        <v>0.05673586055038318</v>
      </c>
    </row>
    <row r="87" ht="12.75">
      <c r="A87" t="s">
        <v>50</v>
      </c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O93"/>
  <sheetViews>
    <sheetView zoomScalePageLayoutView="0" workbookViewId="0" topLeftCell="A79">
      <selection activeCell="B89" sqref="B89:K93"/>
    </sheetView>
  </sheetViews>
  <sheetFormatPr defaultColWidth="9.00390625" defaultRowHeight="12.75"/>
  <sheetData>
    <row r="3" ht="12.75">
      <c r="A3" t="s">
        <v>1</v>
      </c>
    </row>
    <row r="5" spans="1:14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</row>
    <row r="6" ht="12.75">
      <c r="A6" t="s">
        <v>16</v>
      </c>
    </row>
    <row r="7" spans="1:14" ht="12.75">
      <c r="A7" t="s">
        <v>17</v>
      </c>
      <c r="B7">
        <v>0</v>
      </c>
      <c r="C7">
        <v>0</v>
      </c>
      <c r="D7">
        <v>220</v>
      </c>
      <c r="E7">
        <v>330</v>
      </c>
      <c r="F7">
        <f aca="true" t="shared" si="0" ref="F7:N7">E7</f>
        <v>330</v>
      </c>
      <c r="G7">
        <f t="shared" si="0"/>
        <v>330</v>
      </c>
      <c r="H7">
        <f t="shared" si="0"/>
        <v>330</v>
      </c>
      <c r="I7">
        <f t="shared" si="0"/>
        <v>330</v>
      </c>
      <c r="J7">
        <f t="shared" si="0"/>
        <v>330</v>
      </c>
      <c r="K7">
        <f t="shared" si="0"/>
        <v>330</v>
      </c>
      <c r="L7">
        <f t="shared" si="0"/>
        <v>330</v>
      </c>
      <c r="M7">
        <f t="shared" si="0"/>
        <v>330</v>
      </c>
      <c r="N7">
        <f t="shared" si="0"/>
        <v>330</v>
      </c>
    </row>
    <row r="8" spans="1:14" ht="12.75">
      <c r="A8" t="s">
        <v>18</v>
      </c>
      <c r="B8">
        <v>0</v>
      </c>
      <c r="C8">
        <v>0</v>
      </c>
      <c r="D8">
        <v>77</v>
      </c>
      <c r="E8">
        <v>110</v>
      </c>
      <c r="F8">
        <f aca="true" t="shared" si="1" ref="F8:N8">E8</f>
        <v>110</v>
      </c>
      <c r="G8">
        <f t="shared" si="1"/>
        <v>110</v>
      </c>
      <c r="H8">
        <f t="shared" si="1"/>
        <v>110</v>
      </c>
      <c r="I8">
        <f t="shared" si="1"/>
        <v>110</v>
      </c>
      <c r="J8">
        <f t="shared" si="1"/>
        <v>110</v>
      </c>
      <c r="K8">
        <f t="shared" si="1"/>
        <v>110</v>
      </c>
      <c r="L8">
        <f t="shared" si="1"/>
        <v>110</v>
      </c>
      <c r="M8">
        <f t="shared" si="1"/>
        <v>110</v>
      </c>
      <c r="N8">
        <f t="shared" si="1"/>
        <v>110</v>
      </c>
    </row>
    <row r="9" spans="1:14" ht="12.75">
      <c r="A9" t="s">
        <v>19</v>
      </c>
      <c r="B9">
        <v>0</v>
      </c>
      <c r="C9">
        <v>0</v>
      </c>
      <c r="D9">
        <v>110</v>
      </c>
      <c r="E9">
        <v>165</v>
      </c>
      <c r="F9">
        <f aca="true" t="shared" si="2" ref="F9:N9">E9</f>
        <v>165</v>
      </c>
      <c r="G9">
        <f t="shared" si="2"/>
        <v>165</v>
      </c>
      <c r="H9">
        <f t="shared" si="2"/>
        <v>165</v>
      </c>
      <c r="I9">
        <f t="shared" si="2"/>
        <v>165</v>
      </c>
      <c r="J9">
        <f t="shared" si="2"/>
        <v>165</v>
      </c>
      <c r="K9">
        <f t="shared" si="2"/>
        <v>165</v>
      </c>
      <c r="L9">
        <f t="shared" si="2"/>
        <v>165</v>
      </c>
      <c r="M9">
        <f t="shared" si="2"/>
        <v>165</v>
      </c>
      <c r="N9">
        <f t="shared" si="2"/>
        <v>165</v>
      </c>
    </row>
    <row r="10" spans="1:4" ht="12.75">
      <c r="A10" t="s">
        <v>20</v>
      </c>
      <c r="B10">
        <v>100</v>
      </c>
      <c r="C10">
        <v>100</v>
      </c>
      <c r="D10">
        <v>50</v>
      </c>
    </row>
    <row r="11" spans="1:8" ht="12.75">
      <c r="A11" t="s">
        <v>21</v>
      </c>
      <c r="B11">
        <f>B10</f>
        <v>100</v>
      </c>
      <c r="C11">
        <f>B11+C10</f>
        <v>200</v>
      </c>
      <c r="D11">
        <f>C11+D10</f>
        <v>250</v>
      </c>
      <c r="E11">
        <f>D11-E49+E50</f>
        <v>206.0509999999999</v>
      </c>
      <c r="F11">
        <f>E11-F49+F50</f>
        <v>159.0255699999998</v>
      </c>
      <c r="G11">
        <f>F11-G49+G50</f>
        <v>108.94348704999966</v>
      </c>
      <c r="H11">
        <v>0</v>
      </c>
    </row>
    <row r="12" spans="1:14" ht="12.75">
      <c r="A12" t="s">
        <v>22</v>
      </c>
      <c r="F12">
        <v>1.07</v>
      </c>
      <c r="G12">
        <f aca="true" t="shared" si="3" ref="G12:N12">F12-0.005</f>
        <v>1.0650000000000002</v>
      </c>
      <c r="H12">
        <f t="shared" si="3"/>
        <v>1.0600000000000003</v>
      </c>
      <c r="I12">
        <f t="shared" si="3"/>
        <v>1.0550000000000004</v>
      </c>
      <c r="J12">
        <f t="shared" si="3"/>
        <v>1.0500000000000005</v>
      </c>
      <c r="K12">
        <f t="shared" si="3"/>
        <v>1.0450000000000006</v>
      </c>
      <c r="L12">
        <f t="shared" si="3"/>
        <v>1.0400000000000007</v>
      </c>
      <c r="M12">
        <f t="shared" si="3"/>
        <v>1.0350000000000008</v>
      </c>
      <c r="N12">
        <f t="shared" si="3"/>
        <v>1.030000000000001</v>
      </c>
    </row>
    <row r="13" ht="12.75">
      <c r="A13" t="s">
        <v>23</v>
      </c>
    </row>
    <row r="14" spans="1:14" ht="12.75">
      <c r="A14" t="s">
        <v>17</v>
      </c>
      <c r="D14">
        <f>E14*D7/E7</f>
        <v>21.426666666666666</v>
      </c>
      <c r="E14">
        <v>32.14</v>
      </c>
      <c r="F14">
        <f>E14*$F$12</f>
        <v>34.3898</v>
      </c>
      <c r="G14">
        <f>F14*$G$12</f>
        <v>36.62513700000001</v>
      </c>
      <c r="H14">
        <f>G14*$H$12</f>
        <v>38.82264522000002</v>
      </c>
      <c r="I14">
        <f>H14*$I$12</f>
        <v>40.957890707100034</v>
      </c>
      <c r="J14">
        <f>I14*$J$12</f>
        <v>43.005785242455055</v>
      </c>
      <c r="K14">
        <f>J14*$K$12</f>
        <v>44.94104557836556</v>
      </c>
      <c r="L14">
        <f>K14*$L$12</f>
        <v>46.738687401500215</v>
      </c>
      <c r="M14">
        <f>L14*$M$12</f>
        <v>48.37454146055276</v>
      </c>
      <c r="N14">
        <f>M14*$N$12</f>
        <v>49.82577770436939</v>
      </c>
    </row>
    <row r="15" spans="1:14" ht="12.75">
      <c r="A15" t="s">
        <v>18</v>
      </c>
      <c r="D15">
        <f>E15*D8/E8</f>
        <v>13.503</v>
      </c>
      <c r="E15">
        <v>19.29</v>
      </c>
      <c r="F15">
        <f>E15*$F$12</f>
        <v>20.6403</v>
      </c>
      <c r="G15">
        <f>F15*$G$12</f>
        <v>21.981919500000004</v>
      </c>
      <c r="H15">
        <f>G15*$H$12</f>
        <v>23.30083467000001</v>
      </c>
      <c r="I15">
        <f>H15*$I$12</f>
        <v>24.58238057685002</v>
      </c>
      <c r="J15">
        <f>I15*$J$12</f>
        <v>25.811499605692532</v>
      </c>
      <c r="K15">
        <f>J15*$K$12</f>
        <v>26.973017087948712</v>
      </c>
      <c r="L15">
        <f>K15*$L$12</f>
        <v>28.05193777146668</v>
      </c>
      <c r="M15">
        <f>L15*$M$12</f>
        <v>29.033755593468037</v>
      </c>
      <c r="N15">
        <f>M15*$N$12</f>
        <v>29.904768261272103</v>
      </c>
    </row>
    <row r="16" spans="1:14" ht="12.75">
      <c r="A16" t="s">
        <v>19</v>
      </c>
      <c r="D16">
        <f>E16*D9/E9</f>
        <v>18.580000000000002</v>
      </c>
      <c r="E16">
        <v>27.87</v>
      </c>
      <c r="F16">
        <f>E16*$F$12</f>
        <v>29.8209</v>
      </c>
      <c r="G16">
        <f>F16*$G$12</f>
        <v>31.75925850000001</v>
      </c>
      <c r="H16">
        <f>G16*$H$12</f>
        <v>33.664814010000015</v>
      </c>
      <c r="I16">
        <f>H16*$I$12</f>
        <v>35.51637878055003</v>
      </c>
      <c r="J16">
        <f>I16*$J$12</f>
        <v>37.292197719577544</v>
      </c>
      <c r="K16">
        <f>J16*$K$12</f>
        <v>38.97034661695856</v>
      </c>
      <c r="L16">
        <f>K16*$L$12</f>
        <v>40.52916048163693</v>
      </c>
      <c r="M16">
        <f>L16*$M$12</f>
        <v>41.94768109849426</v>
      </c>
      <c r="N16">
        <f>M16*$N$12</f>
        <v>43.206111531449125</v>
      </c>
    </row>
    <row r="17" ht="12.75">
      <c r="A17" t="s">
        <v>24</v>
      </c>
    </row>
    <row r="18" spans="1:14" ht="12.75">
      <c r="A18" t="s">
        <v>17</v>
      </c>
      <c r="D18">
        <f>E18*D7/E7</f>
        <v>55</v>
      </c>
      <c r="E18">
        <f>1.1*75</f>
        <v>82.5</v>
      </c>
      <c r="F18">
        <f>E18*$F$12</f>
        <v>88.275</v>
      </c>
      <c r="G18">
        <f>F18*$G$12</f>
        <v>94.01287500000002</v>
      </c>
      <c r="H18">
        <f>G18*$H$12</f>
        <v>99.65364750000005</v>
      </c>
      <c r="I18">
        <f>H18*$I$12</f>
        <v>105.13459811250009</v>
      </c>
      <c r="J18">
        <f>I18*$J$12</f>
        <v>110.39132801812514</v>
      </c>
      <c r="K18">
        <f>J18*$K$12</f>
        <v>115.35893777894083</v>
      </c>
      <c r="L18">
        <f>K18*$L$12</f>
        <v>119.97329529009855</v>
      </c>
      <c r="M18">
        <f>L18*$M$12</f>
        <v>124.1723606252521</v>
      </c>
      <c r="N18">
        <f>M18*$N$12</f>
        <v>127.89753144400977</v>
      </c>
    </row>
    <row r="19" spans="1:14" ht="12.75">
      <c r="A19" t="s">
        <v>18</v>
      </c>
      <c r="D19">
        <f>E19*D8/E8</f>
        <v>34.650000000000006</v>
      </c>
      <c r="E19">
        <f>1.1*45</f>
        <v>49.50000000000001</v>
      </c>
      <c r="F19">
        <f>E19*$F$12</f>
        <v>52.96500000000001</v>
      </c>
      <c r="G19">
        <f>F19*$G$12</f>
        <v>56.40772500000002</v>
      </c>
      <c r="H19">
        <f>G19*$H$12</f>
        <v>59.79218850000004</v>
      </c>
      <c r="I19">
        <f>H19*$I$12</f>
        <v>63.08075886750006</v>
      </c>
      <c r="J19">
        <f>I19*$J$12</f>
        <v>66.2347968108751</v>
      </c>
      <c r="K19">
        <f>J19*$K$12</f>
        <v>69.21536266736452</v>
      </c>
      <c r="L19">
        <f>K19*$L$12</f>
        <v>71.98397717405915</v>
      </c>
      <c r="M19">
        <f>L19*$M$12</f>
        <v>74.50341637515128</v>
      </c>
      <c r="N19">
        <f>M19*$N$12</f>
        <v>76.73851886640588</v>
      </c>
    </row>
    <row r="20" spans="1:14" ht="12.75">
      <c r="A20" t="s">
        <v>19</v>
      </c>
      <c r="D20">
        <f>E20*D9/E9</f>
        <v>47.666666666666664</v>
      </c>
      <c r="E20">
        <f>1.1*65</f>
        <v>71.5</v>
      </c>
      <c r="F20">
        <f>E20*$F$12</f>
        <v>76.50500000000001</v>
      </c>
      <c r="G20">
        <f>F20*$G$12</f>
        <v>81.47782500000002</v>
      </c>
      <c r="H20">
        <f>G20*$H$12</f>
        <v>86.36649450000004</v>
      </c>
      <c r="I20">
        <f>H20*$I$12</f>
        <v>91.11665169750007</v>
      </c>
      <c r="J20">
        <f>I20*$J$12</f>
        <v>95.67248428237512</v>
      </c>
      <c r="K20">
        <f>J20*$K$12</f>
        <v>99.97774607508207</v>
      </c>
      <c r="L20">
        <f>K20*$L$12</f>
        <v>103.97685591808542</v>
      </c>
      <c r="M20">
        <f>L20*$M$12</f>
        <v>107.61604587521849</v>
      </c>
      <c r="N20">
        <f>M20*$N$12</f>
        <v>110.84452725147514</v>
      </c>
    </row>
    <row r="21" ht="12.75">
      <c r="A21" t="s">
        <v>25</v>
      </c>
    </row>
    <row r="22" spans="1:14" ht="12.75">
      <c r="A22" t="s">
        <v>17</v>
      </c>
      <c r="D22">
        <f aca="true" t="shared" si="4" ref="D22:N22">D18*1000/D7</f>
        <v>250</v>
      </c>
      <c r="E22">
        <f t="shared" si="4"/>
        <v>250</v>
      </c>
      <c r="F22">
        <f t="shared" si="4"/>
        <v>267.5</v>
      </c>
      <c r="G22">
        <f t="shared" si="4"/>
        <v>284.8875000000001</v>
      </c>
      <c r="H22">
        <f t="shared" si="4"/>
        <v>301.98075000000017</v>
      </c>
      <c r="I22">
        <f t="shared" si="4"/>
        <v>318.58969125000027</v>
      </c>
      <c r="J22">
        <f t="shared" si="4"/>
        <v>334.5191758125004</v>
      </c>
      <c r="K22">
        <f t="shared" si="4"/>
        <v>349.5725387240631</v>
      </c>
      <c r="L22">
        <f t="shared" si="4"/>
        <v>363.5554402730259</v>
      </c>
      <c r="M22">
        <f t="shared" si="4"/>
        <v>376.27988068258213</v>
      </c>
      <c r="N22">
        <f t="shared" si="4"/>
        <v>387.5682771030599</v>
      </c>
    </row>
    <row r="23" spans="1:14" ht="12.75">
      <c r="A23" t="s">
        <v>18</v>
      </c>
      <c r="D23">
        <f aca="true" t="shared" si="5" ref="D23:N23">D19*1000/D8</f>
        <v>450.0000000000001</v>
      </c>
      <c r="E23">
        <f t="shared" si="5"/>
        <v>450.00000000000006</v>
      </c>
      <c r="F23">
        <f t="shared" si="5"/>
        <v>481.50000000000006</v>
      </c>
      <c r="G23">
        <f t="shared" si="5"/>
        <v>512.7975000000002</v>
      </c>
      <c r="H23">
        <f t="shared" si="5"/>
        <v>543.5653500000004</v>
      </c>
      <c r="I23">
        <f t="shared" si="5"/>
        <v>573.4614442500006</v>
      </c>
      <c r="J23">
        <f t="shared" si="5"/>
        <v>602.1345164625009</v>
      </c>
      <c r="K23">
        <f t="shared" si="5"/>
        <v>629.2305697033138</v>
      </c>
      <c r="L23">
        <f t="shared" si="5"/>
        <v>654.3997924914469</v>
      </c>
      <c r="M23">
        <f t="shared" si="5"/>
        <v>677.3037852286479</v>
      </c>
      <c r="N23">
        <f t="shared" si="5"/>
        <v>697.622898785508</v>
      </c>
    </row>
    <row r="24" spans="1:14" ht="12.75">
      <c r="A24" t="s">
        <v>19</v>
      </c>
      <c r="D24">
        <f aca="true" t="shared" si="6" ref="D24:N24">D20*1000/D9</f>
        <v>433.3333333333333</v>
      </c>
      <c r="E24">
        <f t="shared" si="6"/>
        <v>433.3333333333333</v>
      </c>
      <c r="F24">
        <f t="shared" si="6"/>
        <v>463.66666666666674</v>
      </c>
      <c r="G24">
        <f t="shared" si="6"/>
        <v>493.8050000000002</v>
      </c>
      <c r="H24">
        <f t="shared" si="6"/>
        <v>523.4333000000003</v>
      </c>
      <c r="I24">
        <f t="shared" si="6"/>
        <v>552.2221315000004</v>
      </c>
      <c r="J24">
        <f t="shared" si="6"/>
        <v>579.8332380750007</v>
      </c>
      <c r="K24">
        <f t="shared" si="6"/>
        <v>605.9257337883761</v>
      </c>
      <c r="L24">
        <f t="shared" si="6"/>
        <v>630.1627631399116</v>
      </c>
      <c r="M24">
        <f t="shared" si="6"/>
        <v>652.218459849809</v>
      </c>
      <c r="N24">
        <f t="shared" si="6"/>
        <v>671.7850136453039</v>
      </c>
    </row>
    <row r="25" ht="12.75">
      <c r="A25" t="s">
        <v>26</v>
      </c>
    </row>
    <row r="26" spans="1:14" ht="12.75">
      <c r="A26" t="s">
        <v>17</v>
      </c>
      <c r="D26">
        <f aca="true" t="shared" si="7" ref="D26:N26">D14+D18</f>
        <v>76.42666666666666</v>
      </c>
      <c r="E26">
        <f t="shared" si="7"/>
        <v>114.64</v>
      </c>
      <c r="F26">
        <f t="shared" si="7"/>
        <v>122.66480000000001</v>
      </c>
      <c r="G26">
        <f t="shared" si="7"/>
        <v>130.63801200000003</v>
      </c>
      <c r="H26">
        <f t="shared" si="7"/>
        <v>138.47629272000006</v>
      </c>
      <c r="I26">
        <f t="shared" si="7"/>
        <v>146.09248881960013</v>
      </c>
      <c r="J26">
        <f t="shared" si="7"/>
        <v>153.3971132605802</v>
      </c>
      <c r="K26">
        <f t="shared" si="7"/>
        <v>160.2999833573064</v>
      </c>
      <c r="L26">
        <f t="shared" si="7"/>
        <v>166.71198269159876</v>
      </c>
      <c r="M26">
        <f t="shared" si="7"/>
        <v>172.54690208580485</v>
      </c>
      <c r="N26">
        <f t="shared" si="7"/>
        <v>177.72330914837917</v>
      </c>
    </row>
    <row r="27" spans="1:14" ht="12.75">
      <c r="A27" t="s">
        <v>18</v>
      </c>
      <c r="D27">
        <f aca="true" t="shared" si="8" ref="D27:N27">D15+D19</f>
        <v>48.153000000000006</v>
      </c>
      <c r="E27">
        <f t="shared" si="8"/>
        <v>68.79</v>
      </c>
      <c r="F27">
        <f t="shared" si="8"/>
        <v>73.60530000000001</v>
      </c>
      <c r="G27">
        <f t="shared" si="8"/>
        <v>78.38964450000003</v>
      </c>
      <c r="H27">
        <f t="shared" si="8"/>
        <v>83.09302317000005</v>
      </c>
      <c r="I27">
        <f t="shared" si="8"/>
        <v>87.66313944435008</v>
      </c>
      <c r="J27">
        <f t="shared" si="8"/>
        <v>92.04629641656763</v>
      </c>
      <c r="K27">
        <f t="shared" si="8"/>
        <v>96.18837975531324</v>
      </c>
      <c r="L27">
        <f t="shared" si="8"/>
        <v>100.03591494552583</v>
      </c>
      <c r="M27">
        <f t="shared" si="8"/>
        <v>103.5371719686193</v>
      </c>
      <c r="N27">
        <f t="shared" si="8"/>
        <v>106.64328712767798</v>
      </c>
    </row>
    <row r="28" spans="1:15" ht="12.75">
      <c r="A28" t="s">
        <v>19</v>
      </c>
      <c r="D28">
        <f aca="true" t="shared" si="9" ref="D28:N28">D16+D20</f>
        <v>66.24666666666667</v>
      </c>
      <c r="E28">
        <f t="shared" si="9"/>
        <v>99.37</v>
      </c>
      <c r="F28">
        <f t="shared" si="9"/>
        <v>106.32590000000002</v>
      </c>
      <c r="G28">
        <f t="shared" si="9"/>
        <v>113.23708350000004</v>
      </c>
      <c r="H28">
        <f t="shared" si="9"/>
        <v>120.03130851000006</v>
      </c>
      <c r="I28">
        <f t="shared" si="9"/>
        <v>126.6330304780501</v>
      </c>
      <c r="J28">
        <f t="shared" si="9"/>
        <v>132.96468200195267</v>
      </c>
      <c r="K28">
        <f t="shared" si="9"/>
        <v>138.94809269204063</v>
      </c>
      <c r="L28">
        <f t="shared" si="9"/>
        <v>144.50601639972234</v>
      </c>
      <c r="M28">
        <f t="shared" si="9"/>
        <v>149.56372697371273</v>
      </c>
      <c r="N28">
        <f t="shared" si="9"/>
        <v>154.05063878292427</v>
      </c>
      <c r="O28">
        <f>SUM(D26:N28)</f>
        <v>3849.6398540830583</v>
      </c>
    </row>
    <row r="29" ht="12.75">
      <c r="A29" t="s">
        <v>27</v>
      </c>
    </row>
    <row r="30" spans="1:14" ht="12.75">
      <c r="A30" t="s">
        <v>17</v>
      </c>
      <c r="D30">
        <f aca="true" t="shared" si="10" ref="D30:N30">D26/(D26+D27+D28)*100</f>
        <v>40.05037739375592</v>
      </c>
      <c r="E30">
        <f t="shared" si="10"/>
        <v>40.53748231966053</v>
      </c>
      <c r="F30">
        <f t="shared" si="10"/>
        <v>40.53748231966054</v>
      </c>
      <c r="G30">
        <f t="shared" si="10"/>
        <v>40.53748231966054</v>
      </c>
      <c r="H30">
        <f t="shared" si="10"/>
        <v>40.53748231966054</v>
      </c>
      <c r="I30">
        <f t="shared" si="10"/>
        <v>40.53748231966054</v>
      </c>
      <c r="J30">
        <f t="shared" si="10"/>
        <v>40.53748231966054</v>
      </c>
      <c r="K30">
        <f t="shared" si="10"/>
        <v>40.53748231966053</v>
      </c>
      <c r="L30">
        <f t="shared" si="10"/>
        <v>40.53748231966053</v>
      </c>
      <c r="M30">
        <f t="shared" si="10"/>
        <v>40.53748231966053</v>
      </c>
      <c r="N30">
        <f t="shared" si="10"/>
        <v>40.53748231966054</v>
      </c>
    </row>
    <row r="31" spans="1:14" ht="12.75">
      <c r="A31" t="s">
        <v>18</v>
      </c>
      <c r="D31">
        <f aca="true" t="shared" si="11" ref="D31:N31">D27/(D27+D28+D26)*100</f>
        <v>25.233938712162367</v>
      </c>
      <c r="E31">
        <f t="shared" si="11"/>
        <v>24.324611032531827</v>
      </c>
      <c r="F31">
        <f t="shared" si="11"/>
        <v>24.324611032531823</v>
      </c>
      <c r="G31">
        <f t="shared" si="11"/>
        <v>24.324611032531827</v>
      </c>
      <c r="H31">
        <f t="shared" si="11"/>
        <v>24.324611032531827</v>
      </c>
      <c r="I31">
        <f t="shared" si="11"/>
        <v>24.324611032531827</v>
      </c>
      <c r="J31">
        <f t="shared" si="11"/>
        <v>24.324611032531827</v>
      </c>
      <c r="K31">
        <f t="shared" si="11"/>
        <v>24.324611032531827</v>
      </c>
      <c r="L31">
        <f t="shared" si="11"/>
        <v>24.324611032531827</v>
      </c>
      <c r="M31">
        <f t="shared" si="11"/>
        <v>24.324611032531827</v>
      </c>
      <c r="N31">
        <f t="shared" si="11"/>
        <v>24.324611032531827</v>
      </c>
    </row>
    <row r="32" spans="1:14" ht="12.75">
      <c r="A32" t="s">
        <v>19</v>
      </c>
      <c r="D32">
        <f aca="true" t="shared" si="12" ref="D32:N32">D28/(D26+D27+D28)*100</f>
        <v>34.71568389408171</v>
      </c>
      <c r="E32">
        <f t="shared" si="12"/>
        <v>35.13790664780764</v>
      </c>
      <c r="F32">
        <f t="shared" si="12"/>
        <v>35.13790664780764</v>
      </c>
      <c r="G32">
        <f t="shared" si="12"/>
        <v>35.13790664780764</v>
      </c>
      <c r="H32">
        <f t="shared" si="12"/>
        <v>35.13790664780764</v>
      </c>
      <c r="I32">
        <f t="shared" si="12"/>
        <v>35.13790664780764</v>
      </c>
      <c r="J32">
        <f t="shared" si="12"/>
        <v>35.13790664780764</v>
      </c>
      <c r="K32">
        <f t="shared" si="12"/>
        <v>35.13790664780764</v>
      </c>
      <c r="L32">
        <f t="shared" si="12"/>
        <v>35.13790664780764</v>
      </c>
      <c r="M32">
        <f t="shared" si="12"/>
        <v>35.13790664780764</v>
      </c>
      <c r="N32">
        <f t="shared" si="12"/>
        <v>35.13790664780764</v>
      </c>
    </row>
    <row r="33" ht="12.75">
      <c r="A33" t="s">
        <v>28</v>
      </c>
    </row>
    <row r="34" spans="1:14" ht="12.75">
      <c r="A34" t="s">
        <v>17</v>
      </c>
      <c r="D34">
        <f aca="true" t="shared" si="13" ref="D34:N34">D26/D7*1000</f>
        <v>347.3939393939394</v>
      </c>
      <c r="E34">
        <f t="shared" si="13"/>
        <v>347.39393939393943</v>
      </c>
      <c r="F34">
        <f t="shared" si="13"/>
        <v>371.7115151515152</v>
      </c>
      <c r="G34">
        <f t="shared" si="13"/>
        <v>395.87276363636374</v>
      </c>
      <c r="H34">
        <f t="shared" si="13"/>
        <v>419.6251294545457</v>
      </c>
      <c r="I34">
        <f t="shared" si="13"/>
        <v>442.7045115745459</v>
      </c>
      <c r="J34">
        <f t="shared" si="13"/>
        <v>464.8397371532733</v>
      </c>
      <c r="K34">
        <f t="shared" si="13"/>
        <v>485.75752532517083</v>
      </c>
      <c r="L34">
        <f t="shared" si="13"/>
        <v>505.18782633817807</v>
      </c>
      <c r="M34">
        <f t="shared" si="13"/>
        <v>522.8694002600147</v>
      </c>
      <c r="N34">
        <f t="shared" si="13"/>
        <v>538.5554822678157</v>
      </c>
    </row>
    <row r="35" spans="1:14" ht="12.75">
      <c r="A35" t="s">
        <v>18</v>
      </c>
      <c r="D35">
        <f aca="true" t="shared" si="14" ref="D35:N35">D27/D8*1000</f>
        <v>625.3636363636365</v>
      </c>
      <c r="E35">
        <f t="shared" si="14"/>
        <v>625.3636363636365</v>
      </c>
      <c r="F35">
        <f t="shared" si="14"/>
        <v>669.1390909090911</v>
      </c>
      <c r="G35">
        <f t="shared" si="14"/>
        <v>712.6331318181822</v>
      </c>
      <c r="H35">
        <f t="shared" si="14"/>
        <v>755.3911197272732</v>
      </c>
      <c r="I35">
        <f t="shared" si="14"/>
        <v>796.9376313122734</v>
      </c>
      <c r="J35">
        <f t="shared" si="14"/>
        <v>836.7845128778876</v>
      </c>
      <c r="K35">
        <f t="shared" si="14"/>
        <v>874.4398159573931</v>
      </c>
      <c r="L35">
        <f t="shared" si="14"/>
        <v>909.4174085956894</v>
      </c>
      <c r="M35">
        <f t="shared" si="14"/>
        <v>941.2470178965391</v>
      </c>
      <c r="N35">
        <f t="shared" si="14"/>
        <v>969.4844284334362</v>
      </c>
    </row>
    <row r="36" spans="1:14" ht="12.75">
      <c r="A36" t="s">
        <v>19</v>
      </c>
      <c r="D36">
        <f aca="true" t="shared" si="15" ref="D36:N36">D28/D9*1000</f>
        <v>602.2424242424242</v>
      </c>
      <c r="E36">
        <f t="shared" si="15"/>
        <v>602.2424242424242</v>
      </c>
      <c r="F36">
        <f t="shared" si="15"/>
        <v>644.399393939394</v>
      </c>
      <c r="G36">
        <f t="shared" si="15"/>
        <v>686.2853545454548</v>
      </c>
      <c r="H36">
        <f t="shared" si="15"/>
        <v>727.4624758181822</v>
      </c>
      <c r="I36">
        <f t="shared" si="15"/>
        <v>767.4729119881824</v>
      </c>
      <c r="J36">
        <f t="shared" si="15"/>
        <v>805.846557587592</v>
      </c>
      <c r="K36">
        <f t="shared" si="15"/>
        <v>842.1096526790342</v>
      </c>
      <c r="L36">
        <f t="shared" si="15"/>
        <v>875.794038786196</v>
      </c>
      <c r="M36">
        <f t="shared" si="15"/>
        <v>906.4468301437136</v>
      </c>
      <c r="N36">
        <f t="shared" si="15"/>
        <v>933.6402350480258</v>
      </c>
    </row>
    <row r="37" ht="12.75">
      <c r="A37" t="s">
        <v>29</v>
      </c>
    </row>
    <row r="38" spans="1:14" ht="12.75">
      <c r="A38" t="s">
        <v>17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</row>
    <row r="39" spans="1:14" ht="12.75">
      <c r="A39" t="s">
        <v>18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</row>
    <row r="40" spans="1:14" ht="12.75">
      <c r="A40" t="s">
        <v>19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>
        <v>30</v>
      </c>
      <c r="K40">
        <v>30</v>
      </c>
      <c r="L40">
        <v>30</v>
      </c>
      <c r="M40">
        <v>30</v>
      </c>
      <c r="N40">
        <v>30</v>
      </c>
    </row>
    <row r="41" ht="12.75">
      <c r="A41" t="s">
        <v>30</v>
      </c>
    </row>
    <row r="42" spans="1:14" ht="12.75">
      <c r="A42" t="s">
        <v>17</v>
      </c>
      <c r="D42">
        <f aca="true" t="shared" si="16" ref="D42:N42">D34*(1+D38/100)</f>
        <v>434.24242424242425</v>
      </c>
      <c r="E42">
        <f t="shared" si="16"/>
        <v>434.2424242424243</v>
      </c>
      <c r="F42">
        <f t="shared" si="16"/>
        <v>464.639393939394</v>
      </c>
      <c r="G42">
        <f t="shared" si="16"/>
        <v>494.8409545454547</v>
      </c>
      <c r="H42">
        <f t="shared" si="16"/>
        <v>524.531411818182</v>
      </c>
      <c r="I42">
        <f t="shared" si="16"/>
        <v>553.3806394681824</v>
      </c>
      <c r="J42">
        <f t="shared" si="16"/>
        <v>581.0496714415916</v>
      </c>
      <c r="K42">
        <f t="shared" si="16"/>
        <v>607.1969066564635</v>
      </c>
      <c r="L42">
        <f t="shared" si="16"/>
        <v>631.4847829227226</v>
      </c>
      <c r="M42">
        <f t="shared" si="16"/>
        <v>653.5867503250183</v>
      </c>
      <c r="N42">
        <f t="shared" si="16"/>
        <v>673.1943528347697</v>
      </c>
    </row>
    <row r="43" spans="1:14" ht="12.75">
      <c r="A43" t="s">
        <v>18</v>
      </c>
      <c r="D43">
        <f aca="true" t="shared" si="17" ref="D43:N43">D35*(1+D39/100)</f>
        <v>750.4363636363638</v>
      </c>
      <c r="E43">
        <f t="shared" si="17"/>
        <v>750.4363636363638</v>
      </c>
      <c r="F43">
        <f t="shared" si="17"/>
        <v>802.9669090909093</v>
      </c>
      <c r="G43">
        <f t="shared" si="17"/>
        <v>855.1597581818186</v>
      </c>
      <c r="H43">
        <f t="shared" si="17"/>
        <v>906.4693436727279</v>
      </c>
      <c r="I43">
        <f t="shared" si="17"/>
        <v>956.3251575747281</v>
      </c>
      <c r="J43">
        <f t="shared" si="17"/>
        <v>1004.141415453465</v>
      </c>
      <c r="K43">
        <f t="shared" si="17"/>
        <v>1049.3277791488717</v>
      </c>
      <c r="L43">
        <f t="shared" si="17"/>
        <v>1091.3008903148273</v>
      </c>
      <c r="M43">
        <f t="shared" si="17"/>
        <v>1129.4964214758468</v>
      </c>
      <c r="N43">
        <f t="shared" si="17"/>
        <v>1163.3813141201233</v>
      </c>
    </row>
    <row r="44" spans="1:14" ht="12.75">
      <c r="A44" t="s">
        <v>19</v>
      </c>
      <c r="D44">
        <f aca="true" t="shared" si="18" ref="D44:N44">D36*(1+D40/100)</f>
        <v>782.9151515151516</v>
      </c>
      <c r="E44">
        <f t="shared" si="18"/>
        <v>782.9151515151516</v>
      </c>
      <c r="F44">
        <f t="shared" si="18"/>
        <v>837.7192121212123</v>
      </c>
      <c r="G44">
        <f t="shared" si="18"/>
        <v>892.1709609090913</v>
      </c>
      <c r="H44">
        <f t="shared" si="18"/>
        <v>945.7012185636369</v>
      </c>
      <c r="I44">
        <f t="shared" si="18"/>
        <v>997.7147855846372</v>
      </c>
      <c r="J44">
        <f t="shared" si="18"/>
        <v>1047.6005248638696</v>
      </c>
      <c r="K44">
        <f t="shared" si="18"/>
        <v>1094.7425484827445</v>
      </c>
      <c r="L44">
        <f t="shared" si="18"/>
        <v>1138.5322504220549</v>
      </c>
      <c r="M44">
        <f t="shared" si="18"/>
        <v>1178.3808791868278</v>
      </c>
      <c r="N44">
        <f t="shared" si="18"/>
        <v>1213.7323055624336</v>
      </c>
    </row>
    <row r="45" ht="12.75">
      <c r="A45" t="s">
        <v>31</v>
      </c>
    </row>
    <row r="46" spans="1:14" ht="12.75">
      <c r="A46" t="s">
        <v>17</v>
      </c>
      <c r="D46">
        <f aca="true" t="shared" si="19" ref="D46:N46">D42*D7/1000</f>
        <v>95.53333333333333</v>
      </c>
      <c r="E46">
        <f t="shared" si="19"/>
        <v>143.30000000000004</v>
      </c>
      <c r="F46">
        <f t="shared" si="19"/>
        <v>153.331</v>
      </c>
      <c r="G46">
        <f t="shared" si="19"/>
        <v>163.29751500000003</v>
      </c>
      <c r="H46">
        <f t="shared" si="19"/>
        <v>173.09536590000008</v>
      </c>
      <c r="I46">
        <f t="shared" si="19"/>
        <v>182.6156110245002</v>
      </c>
      <c r="J46">
        <f t="shared" si="19"/>
        <v>191.74639157572523</v>
      </c>
      <c r="K46">
        <f t="shared" si="19"/>
        <v>200.37497919663295</v>
      </c>
      <c r="L46">
        <f t="shared" si="19"/>
        <v>208.38997836449846</v>
      </c>
      <c r="M46">
        <f t="shared" si="19"/>
        <v>215.68362760725606</v>
      </c>
      <c r="N46">
        <f t="shared" si="19"/>
        <v>222.15413643547402</v>
      </c>
    </row>
    <row r="47" spans="1:14" ht="12.75">
      <c r="A47" t="s">
        <v>18</v>
      </c>
      <c r="D47">
        <f aca="true" t="shared" si="20" ref="D47:N47">D43*D8/1000</f>
        <v>57.783600000000014</v>
      </c>
      <c r="E47">
        <f t="shared" si="20"/>
        <v>82.54800000000002</v>
      </c>
      <c r="F47">
        <f t="shared" si="20"/>
        <v>88.32636000000004</v>
      </c>
      <c r="G47">
        <f t="shared" si="20"/>
        <v>94.06757340000004</v>
      </c>
      <c r="H47">
        <f t="shared" si="20"/>
        <v>99.71162780400006</v>
      </c>
      <c r="I47">
        <f t="shared" si="20"/>
        <v>105.19576733322009</v>
      </c>
      <c r="J47">
        <f t="shared" si="20"/>
        <v>110.45555569988115</v>
      </c>
      <c r="K47">
        <f t="shared" si="20"/>
        <v>115.42605570637589</v>
      </c>
      <c r="L47">
        <f t="shared" si="20"/>
        <v>120.043097934631</v>
      </c>
      <c r="M47">
        <f t="shared" si="20"/>
        <v>124.24460636234313</v>
      </c>
      <c r="N47">
        <f t="shared" si="20"/>
        <v>127.97194455321356</v>
      </c>
    </row>
    <row r="48" spans="1:15" ht="12.75">
      <c r="A48" t="s">
        <v>19</v>
      </c>
      <c r="D48">
        <f aca="true" t="shared" si="21" ref="D48:N48">D44*D9/1000</f>
        <v>86.12066666666666</v>
      </c>
      <c r="E48">
        <f t="shared" si="21"/>
        <v>129.181</v>
      </c>
      <c r="F48">
        <f t="shared" si="21"/>
        <v>138.22367000000006</v>
      </c>
      <c r="G48">
        <f t="shared" si="21"/>
        <v>147.20820855000008</v>
      </c>
      <c r="H48">
        <f t="shared" si="21"/>
        <v>156.04070106300009</v>
      </c>
      <c r="I48">
        <f t="shared" si="21"/>
        <v>164.62293962146512</v>
      </c>
      <c r="J48">
        <f t="shared" si="21"/>
        <v>172.85408660253847</v>
      </c>
      <c r="K48">
        <f t="shared" si="21"/>
        <v>180.63252049965283</v>
      </c>
      <c r="L48">
        <f t="shared" si="21"/>
        <v>187.85782131963904</v>
      </c>
      <c r="M48">
        <f t="shared" si="21"/>
        <v>194.43284506582657</v>
      </c>
      <c r="N48">
        <f t="shared" si="21"/>
        <v>200.26583041780154</v>
      </c>
      <c r="O48">
        <f>SUM(D46:N48)</f>
        <v>4832.736417037676</v>
      </c>
    </row>
    <row r="49" spans="1:15" ht="12.75">
      <c r="A49" t="s">
        <v>32</v>
      </c>
      <c r="D49">
        <f aca="true" t="shared" si="22" ref="D49:N49">(D46+D47+D48)-(D26+D27+D28)</f>
        <v>48.611266666666666</v>
      </c>
      <c r="E49">
        <f t="shared" si="22"/>
        <v>72.2290000000001</v>
      </c>
      <c r="F49">
        <f t="shared" si="22"/>
        <v>77.28503000000012</v>
      </c>
      <c r="G49">
        <f t="shared" si="22"/>
        <v>82.30855695000014</v>
      </c>
      <c r="H49">
        <f t="shared" si="22"/>
        <v>87.2470703670001</v>
      </c>
      <c r="I49">
        <f t="shared" si="22"/>
        <v>92.04565923718508</v>
      </c>
      <c r="J49">
        <f t="shared" si="22"/>
        <v>96.64794219904434</v>
      </c>
      <c r="K49">
        <f t="shared" si="22"/>
        <v>100.99709959800145</v>
      </c>
      <c r="L49">
        <f t="shared" si="22"/>
        <v>105.03698358192162</v>
      </c>
      <c r="M49">
        <f t="shared" si="22"/>
        <v>108.71327800728886</v>
      </c>
      <c r="N49">
        <f t="shared" si="22"/>
        <v>111.97467634750774</v>
      </c>
      <c r="O49">
        <f>SUM(D49:N49)</f>
        <v>983.0965629546163</v>
      </c>
    </row>
    <row r="50" spans="1:14" ht="12.75">
      <c r="A50" t="s">
        <v>33</v>
      </c>
      <c r="D50">
        <f aca="true" t="shared" si="23" ref="D50:N50">(D26+D27+D28)/10</f>
        <v>19.082633333333334</v>
      </c>
      <c r="E50">
        <f t="shared" si="23"/>
        <v>28.28</v>
      </c>
      <c r="F50">
        <f t="shared" si="23"/>
        <v>30.2596</v>
      </c>
      <c r="G50">
        <f t="shared" si="23"/>
        <v>32.22647400000001</v>
      </c>
      <c r="H50">
        <f t="shared" si="23"/>
        <v>34.16006244000001</v>
      </c>
      <c r="I50">
        <f t="shared" si="23"/>
        <v>36.03886587420003</v>
      </c>
      <c r="J50">
        <f t="shared" si="23"/>
        <v>37.84080916791005</v>
      </c>
      <c r="K50">
        <f t="shared" si="23"/>
        <v>39.54364558046602</v>
      </c>
      <c r="L50">
        <f t="shared" si="23"/>
        <v>41.125391403684695</v>
      </c>
      <c r="M50">
        <f t="shared" si="23"/>
        <v>42.564780102813685</v>
      </c>
      <c r="N50">
        <f t="shared" si="23"/>
        <v>43.841723505898145</v>
      </c>
    </row>
    <row r="51" spans="1:14" ht="12.75">
      <c r="A51" t="s">
        <v>34</v>
      </c>
      <c r="B51">
        <f aca="true" t="shared" si="24" ref="B51:G51">B11*0.2</f>
        <v>20</v>
      </c>
      <c r="C51">
        <f t="shared" si="24"/>
        <v>40</v>
      </c>
      <c r="D51">
        <f t="shared" si="24"/>
        <v>50</v>
      </c>
      <c r="E51">
        <f t="shared" si="24"/>
        <v>41.210199999999986</v>
      </c>
      <c r="F51">
        <f t="shared" si="24"/>
        <v>31.80511399999996</v>
      </c>
      <c r="G51">
        <f t="shared" si="24"/>
        <v>21.788697409999934</v>
      </c>
      <c r="H51">
        <v>0</v>
      </c>
      <c r="I51">
        <f aca="true" t="shared" si="25" ref="I51:N51">I11*0.2</f>
        <v>0</v>
      </c>
      <c r="J51">
        <f t="shared" si="25"/>
        <v>0</v>
      </c>
      <c r="K51">
        <f t="shared" si="25"/>
        <v>0</v>
      </c>
      <c r="L51">
        <f t="shared" si="25"/>
        <v>0</v>
      </c>
      <c r="M51">
        <f t="shared" si="25"/>
        <v>0</v>
      </c>
      <c r="N51">
        <f t="shared" si="25"/>
        <v>0</v>
      </c>
    </row>
    <row r="52" spans="1:4" ht="12.75">
      <c r="A52" t="s">
        <v>35</v>
      </c>
      <c r="B52">
        <f>-(B49-B50-B51)</f>
        <v>20</v>
      </c>
      <c r="C52">
        <f>-(C49-C50-C51)+B53</f>
        <v>44</v>
      </c>
      <c r="D52">
        <f>-(D49-D50-D51)+C53</f>
        <v>28.831366666666668</v>
      </c>
    </row>
    <row r="53" spans="1:4" ht="12.75">
      <c r="A53" t="s">
        <v>36</v>
      </c>
      <c r="B53">
        <f>B52*0.2</f>
        <v>4</v>
      </c>
      <c r="C53">
        <f>C52*0.19</f>
        <v>8.36</v>
      </c>
      <c r="D53">
        <f>D52*0.18</f>
        <v>5.189646</v>
      </c>
    </row>
    <row r="54" spans="1:15" ht="12.75">
      <c r="A54" t="s">
        <v>37</v>
      </c>
      <c r="B54">
        <f>-B51-B53</f>
        <v>-24</v>
      </c>
      <c r="C54">
        <f>-C51-C53</f>
        <v>-48.36</v>
      </c>
      <c r="D54">
        <f aca="true" t="shared" si="26" ref="D54:N54">D49-D50-D51-D53</f>
        <v>-25.661012666666668</v>
      </c>
      <c r="E54">
        <f t="shared" si="26"/>
        <v>2.7388000000001114</v>
      </c>
      <c r="F54">
        <f t="shared" si="26"/>
        <v>15.22031600000016</v>
      </c>
      <c r="G54">
        <f t="shared" si="26"/>
        <v>28.293385540000195</v>
      </c>
      <c r="H54">
        <f t="shared" si="26"/>
        <v>53.087007927000094</v>
      </c>
      <c r="I54">
        <f t="shared" si="26"/>
        <v>56.00679336298505</v>
      </c>
      <c r="J54">
        <f t="shared" si="26"/>
        <v>58.807133031134285</v>
      </c>
      <c r="K54">
        <f t="shared" si="26"/>
        <v>61.453454017535435</v>
      </c>
      <c r="L54">
        <f t="shared" si="26"/>
        <v>63.91159217823692</v>
      </c>
      <c r="M54">
        <f t="shared" si="26"/>
        <v>66.14849790447518</v>
      </c>
      <c r="N54">
        <f t="shared" si="26"/>
        <v>68.1329528416096</v>
      </c>
      <c r="O54">
        <f>SUM(B54:N54)</f>
        <v>375.7789201363104</v>
      </c>
    </row>
    <row r="55" spans="1:14" ht="12.75">
      <c r="A55" t="s">
        <v>38</v>
      </c>
      <c r="B55">
        <v>0</v>
      </c>
      <c r="C55">
        <v>0</v>
      </c>
      <c r="D55">
        <v>0</v>
      </c>
      <c r="E55">
        <f aca="true" t="shared" si="27" ref="E55:N55">E54*0.3</f>
        <v>0.8216400000000333</v>
      </c>
      <c r="F55">
        <f t="shared" si="27"/>
        <v>4.566094800000048</v>
      </c>
      <c r="G55">
        <f t="shared" si="27"/>
        <v>8.488015662000057</v>
      </c>
      <c r="H55">
        <f t="shared" si="27"/>
        <v>15.926102378100028</v>
      </c>
      <c r="I55">
        <f t="shared" si="27"/>
        <v>16.802038008895515</v>
      </c>
      <c r="J55">
        <f t="shared" si="27"/>
        <v>17.642139909340283</v>
      </c>
      <c r="K55">
        <f t="shared" si="27"/>
        <v>18.43603620526063</v>
      </c>
      <c r="L55">
        <f t="shared" si="27"/>
        <v>19.173477653471075</v>
      </c>
      <c r="M55">
        <f t="shared" si="27"/>
        <v>19.844549371342552</v>
      </c>
      <c r="N55">
        <f t="shared" si="27"/>
        <v>20.439885852482877</v>
      </c>
    </row>
    <row r="56" spans="1:15" ht="12.75">
      <c r="A56" t="s">
        <v>39</v>
      </c>
      <c r="B56">
        <f aca="true" t="shared" si="28" ref="B56:N56">B54-B55</f>
        <v>-24</v>
      </c>
      <c r="C56">
        <f t="shared" si="28"/>
        <v>-48.36</v>
      </c>
      <c r="D56">
        <f t="shared" si="28"/>
        <v>-25.661012666666668</v>
      </c>
      <c r="E56">
        <f t="shared" si="28"/>
        <v>1.9171600000000781</v>
      </c>
      <c r="F56">
        <f t="shared" si="28"/>
        <v>10.654221200000112</v>
      </c>
      <c r="G56">
        <f t="shared" si="28"/>
        <v>19.805369878000135</v>
      </c>
      <c r="H56">
        <f t="shared" si="28"/>
        <v>37.16090554890007</v>
      </c>
      <c r="I56">
        <f t="shared" si="28"/>
        <v>39.204755354089535</v>
      </c>
      <c r="J56">
        <f t="shared" si="28"/>
        <v>41.164993121794</v>
      </c>
      <c r="K56">
        <f t="shared" si="28"/>
        <v>43.0174178122748</v>
      </c>
      <c r="L56">
        <f t="shared" si="28"/>
        <v>44.73811452476585</v>
      </c>
      <c r="M56">
        <f t="shared" si="28"/>
        <v>46.303948533132626</v>
      </c>
      <c r="N56">
        <f t="shared" si="28"/>
        <v>47.69306698912672</v>
      </c>
      <c r="O56">
        <f>SUM(B56:N56)</f>
        <v>233.63894029541726</v>
      </c>
    </row>
    <row r="57" spans="1:14" ht="12.75">
      <c r="A57" t="s">
        <v>40</v>
      </c>
      <c r="C57">
        <f>0.208*3</f>
        <v>0.624</v>
      </c>
      <c r="D57">
        <f>0.208*12+1.875*5</f>
        <v>11.871</v>
      </c>
      <c r="E57">
        <f aca="true" t="shared" si="29" ref="E57:M57">0.208*12+1.875*12</f>
        <v>24.996</v>
      </c>
      <c r="F57">
        <f t="shared" si="29"/>
        <v>24.996</v>
      </c>
      <c r="G57">
        <f t="shared" si="29"/>
        <v>24.996</v>
      </c>
      <c r="H57">
        <f t="shared" si="29"/>
        <v>24.996</v>
      </c>
      <c r="I57">
        <f t="shared" si="29"/>
        <v>24.996</v>
      </c>
      <c r="J57">
        <f t="shared" si="29"/>
        <v>24.996</v>
      </c>
      <c r="K57">
        <f t="shared" si="29"/>
        <v>24.996</v>
      </c>
      <c r="L57">
        <f t="shared" si="29"/>
        <v>24.996</v>
      </c>
      <c r="M57">
        <f t="shared" si="29"/>
        <v>24.996</v>
      </c>
      <c r="N57">
        <f>1.875*7+0.208*12</f>
        <v>15.621</v>
      </c>
    </row>
    <row r="59" spans="1:14" ht="12.75">
      <c r="A59" t="s">
        <v>41</v>
      </c>
      <c r="B59">
        <f>-B10+B56</f>
        <v>-124</v>
      </c>
      <c r="C59">
        <f aca="true" t="shared" si="30" ref="C59:N59">-C10+C56+C57</f>
        <v>-147.73600000000002</v>
      </c>
      <c r="D59">
        <f t="shared" si="30"/>
        <v>-63.79001266666666</v>
      </c>
      <c r="E59">
        <f t="shared" si="30"/>
        <v>26.913160000000076</v>
      </c>
      <c r="F59">
        <f t="shared" si="30"/>
        <v>35.65022120000011</v>
      </c>
      <c r="G59">
        <f t="shared" si="30"/>
        <v>44.80136987800013</v>
      </c>
      <c r="H59">
        <f t="shared" si="30"/>
        <v>62.15690554890007</v>
      </c>
      <c r="I59">
        <f t="shared" si="30"/>
        <v>64.20075535408954</v>
      </c>
      <c r="J59">
        <f t="shared" si="30"/>
        <v>66.160993121794</v>
      </c>
      <c r="K59">
        <f t="shared" si="30"/>
        <v>68.0134178122748</v>
      </c>
      <c r="L59">
        <f t="shared" si="30"/>
        <v>69.73411452476584</v>
      </c>
      <c r="M59">
        <f t="shared" si="30"/>
        <v>71.29994853313262</v>
      </c>
      <c r="N59">
        <f t="shared" si="30"/>
        <v>63.31406698912672</v>
      </c>
    </row>
    <row r="60" spans="1:14" ht="12.75">
      <c r="A60" t="s">
        <v>42</v>
      </c>
      <c r="B60">
        <f>B59</f>
        <v>-124</v>
      </c>
      <c r="C60">
        <f aca="true" t="shared" si="31" ref="C60:N60">C59+B60</f>
        <v>-271.736</v>
      </c>
      <c r="D60">
        <f t="shared" si="31"/>
        <v>-335.52601266666665</v>
      </c>
      <c r="E60">
        <f t="shared" si="31"/>
        <v>-308.6128526666666</v>
      </c>
      <c r="F60">
        <f t="shared" si="31"/>
        <v>-272.9626314666665</v>
      </c>
      <c r="G60">
        <f t="shared" si="31"/>
        <v>-228.16126158866638</v>
      </c>
      <c r="H60">
        <f t="shared" si="31"/>
        <v>-166.00435603976632</v>
      </c>
      <c r="I60">
        <f t="shared" si="31"/>
        <v>-101.80360068567678</v>
      </c>
      <c r="J60">
        <f t="shared" si="31"/>
        <v>-35.64260756388279</v>
      </c>
      <c r="K60">
        <f t="shared" si="31"/>
        <v>32.370810248392004</v>
      </c>
      <c r="L60">
        <f t="shared" si="31"/>
        <v>102.10492477315785</v>
      </c>
      <c r="M60">
        <f t="shared" si="31"/>
        <v>173.40487330629048</v>
      </c>
      <c r="N60">
        <f t="shared" si="31"/>
        <v>236.7189402954172</v>
      </c>
    </row>
    <row r="62" spans="1:14" ht="12.75">
      <c r="A62" t="s">
        <v>43</v>
      </c>
      <c r="B62">
        <f>1/POWER(1.2,0.5)</f>
        <v>0.9128709291752769</v>
      </c>
      <c r="C62">
        <f>1/POWER(1.2,1.5)</f>
        <v>0.7607257743127307</v>
      </c>
      <c r="D62">
        <f>1/POWER(1.2,2.5)</f>
        <v>0.633938145260609</v>
      </c>
      <c r="E62">
        <f>1/POWER(1.2,3.5)</f>
        <v>0.5282817877171742</v>
      </c>
      <c r="F62">
        <f>1/POWER(1.2,4.5)</f>
        <v>0.44023482309764517</v>
      </c>
      <c r="G62">
        <f>1/POWER(1.2,5.5)</f>
        <v>0.36686235258137107</v>
      </c>
      <c r="H62">
        <f>1/POWER(1.2,6.5)</f>
        <v>0.3057186271511425</v>
      </c>
      <c r="I62">
        <f>1/POWER(1.2,7.5)</f>
        <v>0.25476552262595203</v>
      </c>
      <c r="J62">
        <f>1/POWER(1.2,8.5)</f>
        <v>0.21230460218829345</v>
      </c>
      <c r="K62">
        <f>1/POWER(1.2,9.5)</f>
        <v>0.17692050182357785</v>
      </c>
      <c r="L62">
        <f>1/POWER(1.2,10.5)</f>
        <v>0.14743375151964822</v>
      </c>
      <c r="M62">
        <f>1/POWER(1.2,11.5)</f>
        <v>0.12286145959970685</v>
      </c>
      <c r="N62">
        <f>1/POWER(1.2,12.5)</f>
        <v>0.1023845496664224</v>
      </c>
    </row>
    <row r="63" spans="1:14" ht="12.75">
      <c r="A63" t="s">
        <v>44</v>
      </c>
      <c r="B63">
        <f aca="true" t="shared" si="32" ref="B63:N63">B59*B62</f>
        <v>-113.19599521773434</v>
      </c>
      <c r="C63">
        <f t="shared" si="32"/>
        <v>-112.3865829938656</v>
      </c>
      <c r="D63">
        <f t="shared" si="32"/>
        <v>-40.438922316057415</v>
      </c>
      <c r="E63">
        <f t="shared" si="32"/>
        <v>14.217732277918383</v>
      </c>
      <c r="F63">
        <f t="shared" si="32"/>
        <v>15.694468823373969</v>
      </c>
      <c r="G63">
        <f t="shared" si="32"/>
        <v>16.4359359523113</v>
      </c>
      <c r="H63">
        <f t="shared" si="32"/>
        <v>19.00252383237296</v>
      </c>
      <c r="I63">
        <f t="shared" si="32"/>
        <v>16.35613899076551</v>
      </c>
      <c r="J63">
        <f t="shared" si="32"/>
        <v>14.046283325104893</v>
      </c>
      <c r="K63">
        <f t="shared" si="32"/>
        <v>12.032968010084325</v>
      </c>
      <c r="L63">
        <f t="shared" si="32"/>
        <v>10.281162113287019</v>
      </c>
      <c r="M63">
        <f t="shared" si="32"/>
        <v>8.760015746164651</v>
      </c>
      <c r="N63">
        <f t="shared" si="32"/>
        <v>6.482382236231439</v>
      </c>
    </row>
    <row r="64" spans="1:14" ht="12.75">
      <c r="A64" t="s">
        <v>45</v>
      </c>
      <c r="B64">
        <f aca="true" t="shared" si="33" ref="B64:N64">B60*B62</f>
        <v>-113.19599521773434</v>
      </c>
      <c r="C64">
        <f t="shared" si="33"/>
        <v>-206.71657900864417</v>
      </c>
      <c r="D64">
        <f t="shared" si="33"/>
        <v>-212.70273815659425</v>
      </c>
      <c r="E64">
        <f t="shared" si="33"/>
        <v>-163.0345495192435</v>
      </c>
      <c r="F64">
        <f t="shared" si="33"/>
        <v>-120.16765577599564</v>
      </c>
      <c r="G64">
        <f t="shared" si="33"/>
        <v>-83.70377719435176</v>
      </c>
      <c r="H64">
        <f t="shared" si="33"/>
        <v>-50.75062382958683</v>
      </c>
      <c r="I64">
        <f t="shared" si="33"/>
        <v>-25.936047533890175</v>
      </c>
      <c r="J64">
        <f t="shared" si="33"/>
        <v>-7.567089619803595</v>
      </c>
      <c r="K64">
        <f t="shared" si="33"/>
        <v>5.727059993581331</v>
      </c>
      <c r="L64">
        <f t="shared" si="33"/>
        <v>15.053712107938127</v>
      </c>
      <c r="M64">
        <f t="shared" si="33"/>
        <v>21.30477583611309</v>
      </c>
      <c r="N64">
        <f t="shared" si="33"/>
        <v>24.236362099659022</v>
      </c>
    </row>
    <row r="65" spans="1:4" ht="12.75">
      <c r="A65" t="s">
        <v>46</v>
      </c>
      <c r="B65">
        <f>B10*B62</f>
        <v>91.28709291752769</v>
      </c>
      <c r="C65">
        <f>C10*C62</f>
        <v>76.07257743127307</v>
      </c>
      <c r="D65">
        <f>D10*D62</f>
        <v>31.69690726303045</v>
      </c>
    </row>
    <row r="66" spans="1:4" ht="12.75">
      <c r="A66" t="s">
        <v>47</v>
      </c>
      <c r="B66">
        <f>B65</f>
        <v>91.28709291752769</v>
      </c>
      <c r="C66">
        <f>B66+C65</f>
        <v>167.35967034880076</v>
      </c>
      <c r="D66">
        <f>C66+D65</f>
        <v>199.05657761183122</v>
      </c>
    </row>
    <row r="67" spans="1:14" ht="12.75">
      <c r="A67" t="s">
        <v>48</v>
      </c>
      <c r="N67">
        <f>N64</f>
        <v>24.236362099659022</v>
      </c>
    </row>
    <row r="68" spans="1:14" ht="12.75">
      <c r="A68" t="s">
        <v>49</v>
      </c>
      <c r="N68">
        <f>N67/D66</f>
        <v>0.12175614787731837</v>
      </c>
    </row>
    <row r="69" spans="1:14" ht="12.75">
      <c r="A69" t="s">
        <v>50</v>
      </c>
      <c r="N69">
        <v>6.129</v>
      </c>
    </row>
    <row r="71" spans="1:14" ht="12.75">
      <c r="A71" t="s">
        <v>43</v>
      </c>
      <c r="B71">
        <f>1/POWER(1.15,0.5)</f>
        <v>0.9325048082403138</v>
      </c>
      <c r="C71">
        <f>1/POWER(1.15,1.5)</f>
        <v>0.8108737462959251</v>
      </c>
      <c r="D71">
        <f>1/POWER(1.15,2.5)</f>
        <v>0.7051076054747175</v>
      </c>
      <c r="E71">
        <f>1/POWER(1.15,3.5)</f>
        <v>0.6131370482388848</v>
      </c>
      <c r="F71">
        <f>1/POWER(1.15,4.5)</f>
        <v>0.5331626506425087</v>
      </c>
      <c r="G71">
        <f>1/POWER(1.15,5.5)</f>
        <v>0.4636196962108771</v>
      </c>
      <c r="H71">
        <f>1/POWER(1.15,6.5)</f>
        <v>0.40314756192250184</v>
      </c>
      <c r="I71">
        <f>1/POWER(1.15,7.5)</f>
        <v>0.35056309732391466</v>
      </c>
      <c r="J71">
        <f>1/POWER(1.15,8.5)</f>
        <v>0.30483747593383886</v>
      </c>
      <c r="K71">
        <f>1/POWER(1.15,9.5)</f>
        <v>0.26507606602942513</v>
      </c>
      <c r="L71">
        <f>1/POWER(1.15,10.5)</f>
        <v>0.23050092698210878</v>
      </c>
      <c r="M71">
        <f>1/POWER(1.15,11.5)</f>
        <v>0.20043558868009465</v>
      </c>
      <c r="N71">
        <f>1/POWER(1.15,12.5)</f>
        <v>0.17429181624356058</v>
      </c>
    </row>
    <row r="72" spans="1:14" ht="12.75">
      <c r="A72" t="s">
        <v>44</v>
      </c>
      <c r="B72">
        <f aca="true" t="shared" si="34" ref="B72:N72">B59*B71</f>
        <v>-115.63059622179891</v>
      </c>
      <c r="C72">
        <f t="shared" si="34"/>
        <v>-119.7952437827748</v>
      </c>
      <c r="D72">
        <f t="shared" si="34"/>
        <v>-44.97882308459523</v>
      </c>
      <c r="E72">
        <f t="shared" si="34"/>
        <v>16.501455481180873</v>
      </c>
      <c r="F72">
        <f t="shared" si="34"/>
        <v>19.007366430983815</v>
      </c>
      <c r="G72">
        <f t="shared" si="34"/>
        <v>20.770797492669562</v>
      </c>
      <c r="H72">
        <f t="shared" si="34"/>
        <v>25.05840492868629</v>
      </c>
      <c r="I72">
        <f t="shared" si="34"/>
        <v>22.506415647464525</v>
      </c>
      <c r="J72">
        <f t="shared" si="34"/>
        <v>20.168350148523754</v>
      </c>
      <c r="K72">
        <f t="shared" si="34"/>
        <v>18.028729230893433</v>
      </c>
      <c r="L72">
        <f t="shared" si="34"/>
        <v>16.073778040235062</v>
      </c>
      <c r="M72">
        <f t="shared" si="34"/>
        <v>14.291047157098888</v>
      </c>
      <c r="N72">
        <f t="shared" si="34"/>
        <v>11.03512372930136</v>
      </c>
    </row>
    <row r="73" spans="1:14" ht="12.75">
      <c r="A73" t="s">
        <v>45</v>
      </c>
      <c r="B73">
        <f aca="true" t="shared" si="35" ref="B73:N73">B60*B71</f>
        <v>-115.63059622179891</v>
      </c>
      <c r="C73">
        <f t="shared" si="35"/>
        <v>-220.3435883234695</v>
      </c>
      <c r="D73">
        <f t="shared" si="35"/>
        <v>-236.58194336587306</v>
      </c>
      <c r="E73">
        <f t="shared" si="35"/>
        <v>-189.2219735326218</v>
      </c>
      <c r="F73">
        <f t="shared" si="35"/>
        <v>-145.53348011912215</v>
      </c>
      <c r="G73">
        <f t="shared" si="35"/>
        <v>-105.78005478482797</v>
      </c>
      <c r="H73">
        <f t="shared" si="35"/>
        <v>-66.92425140594673</v>
      </c>
      <c r="I73">
        <f t="shared" si="35"/>
        <v>-35.688585575097854</v>
      </c>
      <c r="J73">
        <f t="shared" si="35"/>
        <v>-10.865202525474384</v>
      </c>
      <c r="K73">
        <f t="shared" si="35"/>
        <v>8.580727034828751</v>
      </c>
      <c r="L73">
        <f t="shared" si="35"/>
        <v>23.535279809651367</v>
      </c>
      <c r="M73">
        <f t="shared" si="35"/>
        <v>34.75650786114356</v>
      </c>
      <c r="N73">
        <f t="shared" si="35"/>
        <v>41.258174043339245</v>
      </c>
    </row>
    <row r="74" spans="1:4" ht="12.75">
      <c r="A74" t="s">
        <v>46</v>
      </c>
      <c r="B74">
        <f>B10*B71</f>
        <v>93.25048082403138</v>
      </c>
      <c r="C74">
        <f>C10*C71</f>
        <v>81.08737462959252</v>
      </c>
      <c r="D74">
        <f>D10*D71</f>
        <v>35.255380273735874</v>
      </c>
    </row>
    <row r="75" spans="1:4" ht="12.75">
      <c r="A75" t="s">
        <v>47</v>
      </c>
      <c r="B75">
        <f>B74</f>
        <v>93.25048082403138</v>
      </c>
      <c r="C75">
        <f>B75+C74</f>
        <v>174.3378554536239</v>
      </c>
      <c r="D75">
        <f>C75+D74</f>
        <v>209.59323572735977</v>
      </c>
    </row>
    <row r="76" spans="1:14" ht="12.75">
      <c r="A76" t="s">
        <v>48</v>
      </c>
      <c r="N76">
        <f>N73</f>
        <v>41.258174043339245</v>
      </c>
    </row>
    <row r="77" spans="1:14" ht="12.75">
      <c r="A77" t="s">
        <v>49</v>
      </c>
      <c r="N77">
        <f>N76/D75</f>
        <v>0.19684878617460796</v>
      </c>
    </row>
    <row r="78" ht="12.75">
      <c r="A78" t="s">
        <v>50</v>
      </c>
    </row>
    <row r="80" spans="1:14" ht="12.75">
      <c r="A80" t="s">
        <v>43</v>
      </c>
      <c r="B80">
        <f>1/POWER(1.25,0.5)</f>
        <v>0.8944271909999159</v>
      </c>
      <c r="C80">
        <f>1/POWER(1.25,1.5)</f>
        <v>0.7155417527999327</v>
      </c>
      <c r="D80">
        <f>1/POWER(1.25,2.5)</f>
        <v>0.5724334022399462</v>
      </c>
      <c r="E80">
        <f>1/POWER(1.25,3.5)</f>
        <v>0.4579467217919569</v>
      </c>
      <c r="F80">
        <f>1/POWER(1.25,4.5)</f>
        <v>0.36635737743356556</v>
      </c>
      <c r="G80">
        <f>1/POWER(1.25,5.5)</f>
        <v>0.29308590194685247</v>
      </c>
      <c r="H80">
        <f>1/POWER(1.25,6.5)</f>
        <v>0.2344687215574819</v>
      </c>
      <c r="I80">
        <f>1/POWER(1.25,7.5)</f>
        <v>0.18757497724598554</v>
      </c>
      <c r="J80">
        <f>1/POWER(1.25,8.5)</f>
        <v>0.15005998179678842</v>
      </c>
      <c r="K80">
        <f>1/POWER(1.25,9.5)</f>
        <v>0.12004798543743075</v>
      </c>
      <c r="L80">
        <f>1/POWER(1.25,10.5)</f>
        <v>0.09603838834994462</v>
      </c>
      <c r="M80">
        <f>1/POWER(1.25,11.5)</f>
        <v>0.0768307106799557</v>
      </c>
      <c r="N80">
        <f>1/POWER(1.25,12.5)</f>
        <v>0.06146456854396452</v>
      </c>
    </row>
    <row r="81" spans="1:14" ht="12.75">
      <c r="A81" t="s">
        <v>44</v>
      </c>
      <c r="B81">
        <f aca="true" t="shared" si="36" ref="B81:N81">B59*B80</f>
        <v>-110.90897168398956</v>
      </c>
      <c r="C81">
        <f t="shared" si="36"/>
        <v>-105.71127639165087</v>
      </c>
      <c r="D81">
        <f t="shared" si="36"/>
        <v>-36.51553397970926</v>
      </c>
      <c r="E81">
        <f t="shared" si="36"/>
        <v>12.324793395062457</v>
      </c>
      <c r="F81">
        <f t="shared" si="36"/>
        <v>13.060721543758541</v>
      </c>
      <c r="G81">
        <f t="shared" si="36"/>
        <v>13.130649899148215</v>
      </c>
      <c r="H81">
        <f t="shared" si="36"/>
        <v>14.573850180019752</v>
      </c>
      <c r="I81">
        <f t="shared" si="36"/>
        <v>12.042455224718429</v>
      </c>
      <c r="J81">
        <f t="shared" si="36"/>
        <v>9.92811742351385</v>
      </c>
      <c r="K81">
        <f t="shared" si="36"/>
        <v>8.164873791077857</v>
      </c>
      <c r="L81">
        <f t="shared" si="36"/>
        <v>6.697151971968975</v>
      </c>
      <c r="M81">
        <f t="shared" si="36"/>
        <v>5.4780257172448446</v>
      </c>
      <c r="N81">
        <f t="shared" si="36"/>
        <v>3.891571810250341</v>
      </c>
    </row>
    <row r="82" spans="1:14" ht="12.75">
      <c r="A82" t="s">
        <v>45</v>
      </c>
      <c r="B82">
        <f aca="true" t="shared" si="37" ref="B82:N82">B60*B80</f>
        <v>-110.90897168398956</v>
      </c>
      <c r="C82">
        <f t="shared" si="37"/>
        <v>-194.4384537388425</v>
      </c>
      <c r="D82">
        <f t="shared" si="37"/>
        <v>-192.06629697078327</v>
      </c>
      <c r="E82">
        <f t="shared" si="37"/>
        <v>-141.32824418156414</v>
      </c>
      <c r="F82">
        <f t="shared" si="37"/>
        <v>-100.00187380149279</v>
      </c>
      <c r="G82">
        <f t="shared" si="37"/>
        <v>-66.87084914204603</v>
      </c>
      <c r="H82">
        <f t="shared" si="37"/>
        <v>-38.92282913361706</v>
      </c>
      <c r="I82">
        <f t="shared" si="37"/>
        <v>-19.09580808217522</v>
      </c>
      <c r="J82">
        <f t="shared" si="37"/>
        <v>-5.348529042226325</v>
      </c>
      <c r="K82">
        <f t="shared" si="37"/>
        <v>3.8860505572967976</v>
      </c>
      <c r="L82">
        <f t="shared" si="37"/>
        <v>9.805992417806413</v>
      </c>
      <c r="M82">
        <f t="shared" si="37"/>
        <v>13.322819651489977</v>
      </c>
      <c r="N82">
        <f t="shared" si="37"/>
        <v>14.549827531442316</v>
      </c>
    </row>
    <row r="83" spans="1:4" ht="12.75">
      <c r="A83" t="s">
        <v>46</v>
      </c>
      <c r="B83">
        <f>B10*B80</f>
        <v>89.44271909999159</v>
      </c>
      <c r="C83">
        <f>C10*C80</f>
        <v>71.55417527999327</v>
      </c>
      <c r="D83">
        <f>D10*D80</f>
        <v>28.62167011199731</v>
      </c>
    </row>
    <row r="84" spans="1:4" ht="12.75">
      <c r="A84" t="s">
        <v>47</v>
      </c>
      <c r="B84">
        <f>B83</f>
        <v>89.44271909999159</v>
      </c>
      <c r="C84">
        <f>B84+C83</f>
        <v>160.99689437998487</v>
      </c>
      <c r="D84">
        <f>C84+D83</f>
        <v>189.61856449198217</v>
      </c>
    </row>
    <row r="85" spans="1:14" ht="12.75">
      <c r="A85" t="s">
        <v>48</v>
      </c>
      <c r="N85">
        <f>N82</f>
        <v>14.549827531442316</v>
      </c>
    </row>
    <row r="86" spans="1:14" ht="12.75">
      <c r="A86" t="s">
        <v>49</v>
      </c>
      <c r="N86">
        <f>N85/D84</f>
        <v>0.07673208354057307</v>
      </c>
    </row>
    <row r="87" ht="12.75">
      <c r="A87" t="s">
        <v>50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92"/>
  <sheetViews>
    <sheetView zoomScalePageLayoutView="0" workbookViewId="0" topLeftCell="A76">
      <selection activeCell="B88" sqref="B88:H93"/>
    </sheetView>
  </sheetViews>
  <sheetFormatPr defaultColWidth="9.00390625" defaultRowHeight="12.75"/>
  <sheetData>
    <row r="2" ht="12.75">
      <c r="A2" t="s">
        <v>1</v>
      </c>
    </row>
    <row r="4" spans="1:14" ht="12.7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</row>
    <row r="5" ht="12.75">
      <c r="A5" t="s">
        <v>16</v>
      </c>
    </row>
    <row r="6" spans="1:14" ht="12.75">
      <c r="A6" t="s">
        <v>17</v>
      </c>
      <c r="B6">
        <v>0</v>
      </c>
      <c r="C6">
        <v>0</v>
      </c>
      <c r="D6">
        <v>180</v>
      </c>
      <c r="E6">
        <v>270</v>
      </c>
      <c r="F6">
        <f aca="true" t="shared" si="0" ref="F6:N6">E6</f>
        <v>270</v>
      </c>
      <c r="G6">
        <f t="shared" si="0"/>
        <v>270</v>
      </c>
      <c r="H6">
        <f t="shared" si="0"/>
        <v>270</v>
      </c>
      <c r="I6">
        <f t="shared" si="0"/>
        <v>270</v>
      </c>
      <c r="J6">
        <f t="shared" si="0"/>
        <v>270</v>
      </c>
      <c r="K6">
        <f t="shared" si="0"/>
        <v>270</v>
      </c>
      <c r="L6">
        <f t="shared" si="0"/>
        <v>270</v>
      </c>
      <c r="M6">
        <f t="shared" si="0"/>
        <v>270</v>
      </c>
      <c r="N6">
        <f t="shared" si="0"/>
        <v>270</v>
      </c>
    </row>
    <row r="7" spans="1:14" ht="12.75">
      <c r="A7" t="s">
        <v>18</v>
      </c>
      <c r="B7">
        <v>0</v>
      </c>
      <c r="C7">
        <v>0</v>
      </c>
      <c r="D7">
        <f>70*0.9</f>
        <v>63</v>
      </c>
      <c r="E7">
        <v>90</v>
      </c>
      <c r="F7">
        <f aca="true" t="shared" si="1" ref="F7:N7">E7</f>
        <v>90</v>
      </c>
      <c r="G7">
        <f t="shared" si="1"/>
        <v>90</v>
      </c>
      <c r="H7">
        <f t="shared" si="1"/>
        <v>90</v>
      </c>
      <c r="I7">
        <f t="shared" si="1"/>
        <v>90</v>
      </c>
      <c r="J7">
        <f t="shared" si="1"/>
        <v>90</v>
      </c>
      <c r="K7">
        <f t="shared" si="1"/>
        <v>90</v>
      </c>
      <c r="L7">
        <f t="shared" si="1"/>
        <v>90</v>
      </c>
      <c r="M7">
        <f t="shared" si="1"/>
        <v>90</v>
      </c>
      <c r="N7">
        <f t="shared" si="1"/>
        <v>90</v>
      </c>
    </row>
    <row r="8" spans="1:14" ht="12.75">
      <c r="A8" t="s">
        <v>19</v>
      </c>
      <c r="B8">
        <v>0</v>
      </c>
      <c r="C8">
        <v>0</v>
      </c>
      <c r="D8">
        <v>90</v>
      </c>
      <c r="E8">
        <v>135</v>
      </c>
      <c r="F8">
        <f aca="true" t="shared" si="2" ref="F8:N8">E8</f>
        <v>135</v>
      </c>
      <c r="G8">
        <f t="shared" si="2"/>
        <v>135</v>
      </c>
      <c r="H8">
        <f t="shared" si="2"/>
        <v>135</v>
      </c>
      <c r="I8">
        <f t="shared" si="2"/>
        <v>135</v>
      </c>
      <c r="J8">
        <f t="shared" si="2"/>
        <v>135</v>
      </c>
      <c r="K8">
        <f t="shared" si="2"/>
        <v>135</v>
      </c>
      <c r="L8">
        <f t="shared" si="2"/>
        <v>135</v>
      </c>
      <c r="M8">
        <f t="shared" si="2"/>
        <v>135</v>
      </c>
      <c r="N8">
        <f t="shared" si="2"/>
        <v>135</v>
      </c>
    </row>
    <row r="9" spans="1:4" ht="12.75">
      <c r="A9" t="s">
        <v>20</v>
      </c>
      <c r="B9">
        <v>110</v>
      </c>
      <c r="C9">
        <v>110</v>
      </c>
      <c r="D9">
        <v>55</v>
      </c>
    </row>
    <row r="10" spans="1:8" ht="12.75">
      <c r="A10" t="s">
        <v>21</v>
      </c>
      <c r="B10">
        <f>B9</f>
        <v>110</v>
      </c>
      <c r="C10">
        <f>B10+C9</f>
        <v>220</v>
      </c>
      <c r="D10">
        <f>C10+D9</f>
        <v>275</v>
      </c>
      <c r="E10">
        <f>D10-E48+E49</f>
        <v>267.89575999999994</v>
      </c>
      <c r="F10">
        <f>E10-F48+F49</f>
        <v>260.2942231999999</v>
      </c>
      <c r="G10">
        <f>F10-G48+G49</f>
        <v>252.19858650799986</v>
      </c>
      <c r="H10">
        <v>0</v>
      </c>
    </row>
    <row r="11" spans="1:14" ht="12.75">
      <c r="A11" t="s">
        <v>22</v>
      </c>
      <c r="F11">
        <v>1.07</v>
      </c>
      <c r="G11">
        <f aca="true" t="shared" si="3" ref="G11:N11">F11-0.005</f>
        <v>1.0650000000000002</v>
      </c>
      <c r="H11">
        <f t="shared" si="3"/>
        <v>1.0600000000000003</v>
      </c>
      <c r="I11">
        <f t="shared" si="3"/>
        <v>1.0550000000000004</v>
      </c>
      <c r="J11">
        <f t="shared" si="3"/>
        <v>1.0500000000000005</v>
      </c>
      <c r="K11">
        <f t="shared" si="3"/>
        <v>1.0450000000000006</v>
      </c>
      <c r="L11">
        <f t="shared" si="3"/>
        <v>1.0400000000000007</v>
      </c>
      <c r="M11">
        <f t="shared" si="3"/>
        <v>1.0350000000000008</v>
      </c>
      <c r="N11">
        <f t="shared" si="3"/>
        <v>1.030000000000001</v>
      </c>
    </row>
    <row r="12" ht="12.75">
      <c r="A12" t="s">
        <v>23</v>
      </c>
    </row>
    <row r="13" spans="1:14" ht="12.75">
      <c r="A13" t="s">
        <v>17</v>
      </c>
      <c r="D13">
        <f>E13*D6/E6</f>
        <v>19.284000000000002</v>
      </c>
      <c r="E13">
        <f>0.9*32.14</f>
        <v>28.926000000000002</v>
      </c>
      <c r="F13">
        <f>E13*$F$11</f>
        <v>30.950820000000004</v>
      </c>
      <c r="G13">
        <f>F13*$G$11</f>
        <v>32.96262330000001</v>
      </c>
      <c r="H13">
        <f>G13*$H$11</f>
        <v>34.94038069800002</v>
      </c>
      <c r="I13">
        <f>H13*$I$11</f>
        <v>36.86210163639004</v>
      </c>
      <c r="J13">
        <f>I13*$J$11</f>
        <v>38.70520671820956</v>
      </c>
      <c r="K13">
        <f>J13*$K$11</f>
        <v>40.44694102052901</v>
      </c>
      <c r="L13">
        <f>K13*$L$11</f>
        <v>42.0648186613502</v>
      </c>
      <c r="M13">
        <f>L13*$M$11</f>
        <v>43.53708731449749</v>
      </c>
      <c r="N13">
        <f>M13*$N$11</f>
        <v>44.84319993393245</v>
      </c>
    </row>
    <row r="14" spans="1:14" ht="12.75">
      <c r="A14" t="s">
        <v>18</v>
      </c>
      <c r="D14">
        <f>E14*D7/E7</f>
        <v>12.1527</v>
      </c>
      <c r="E14">
        <f>0.9*19.29</f>
        <v>17.361</v>
      </c>
      <c r="F14">
        <f>E14*$F$11</f>
        <v>18.57627</v>
      </c>
      <c r="G14">
        <f>F14*$G$11</f>
        <v>19.783727550000005</v>
      </c>
      <c r="H14">
        <f>G14*$H$11</f>
        <v>20.97075120300001</v>
      </c>
      <c r="I14">
        <f>H14*$I$11</f>
        <v>22.12414251916502</v>
      </c>
      <c r="J14">
        <f>I14*$J$11</f>
        <v>23.23034964512328</v>
      </c>
      <c r="K14">
        <f>J14*$K$11</f>
        <v>24.27571537915384</v>
      </c>
      <c r="L14">
        <f>K14*$L$11</f>
        <v>25.24674399432001</v>
      </c>
      <c r="M14">
        <f>L14*$M$11</f>
        <v>26.13038003412123</v>
      </c>
      <c r="N14">
        <f>M14*$N$11</f>
        <v>26.914291435144893</v>
      </c>
    </row>
    <row r="15" spans="1:14" ht="12.75">
      <c r="A15" t="s">
        <v>19</v>
      </c>
      <c r="D15">
        <f>E15*D8/E8</f>
        <v>16.722</v>
      </c>
      <c r="E15">
        <f>0.9*27.87</f>
        <v>25.083000000000002</v>
      </c>
      <c r="F15">
        <f>E15*$F$11</f>
        <v>26.838810000000002</v>
      </c>
      <c r="G15">
        <f>F15*$G$11</f>
        <v>28.583332650000006</v>
      </c>
      <c r="H15">
        <f>G15*$H$11</f>
        <v>30.298332609000013</v>
      </c>
      <c r="I15">
        <f>H15*$I$11</f>
        <v>31.964740902495027</v>
      </c>
      <c r="J15">
        <f>I15*$J$11</f>
        <v>33.56297794761979</v>
      </c>
      <c r="K15">
        <f>J15*$K$11</f>
        <v>35.0733119552627</v>
      </c>
      <c r="L15">
        <f>K15*$L$11</f>
        <v>36.476244433473234</v>
      </c>
      <c r="M15">
        <f>L15*$M$11</f>
        <v>37.75291298864482</v>
      </c>
      <c r="N15">
        <f>M15*$N$11</f>
        <v>38.8855003783042</v>
      </c>
    </row>
    <row r="16" ht="12.75">
      <c r="A16" t="s">
        <v>24</v>
      </c>
    </row>
    <row r="17" spans="1:14" ht="12.75">
      <c r="A17" t="s">
        <v>17</v>
      </c>
      <c r="D17">
        <f>E17*D6/E6</f>
        <v>45</v>
      </c>
      <c r="E17">
        <f>75*0.9</f>
        <v>67.5</v>
      </c>
      <c r="F17">
        <f>E17*$F$11</f>
        <v>72.22500000000001</v>
      </c>
      <c r="G17">
        <f>F17*$G$11</f>
        <v>76.91962500000002</v>
      </c>
      <c r="H17">
        <f>G17*$H$11</f>
        <v>81.53480250000004</v>
      </c>
      <c r="I17">
        <f>H17*$I$11</f>
        <v>86.01921663750008</v>
      </c>
      <c r="J17">
        <f>I17*$J$11</f>
        <v>90.32017746937512</v>
      </c>
      <c r="K17">
        <f>J17*$K$11</f>
        <v>94.38458545549706</v>
      </c>
      <c r="L17">
        <f>K17*$L$11</f>
        <v>98.159968873717</v>
      </c>
      <c r="M17">
        <f>L17*$M$11</f>
        <v>101.59556778429717</v>
      </c>
      <c r="N17">
        <f>M17*$N$11</f>
        <v>104.64343481782618</v>
      </c>
    </row>
    <row r="18" spans="1:14" ht="12.75">
      <c r="A18" t="s">
        <v>18</v>
      </c>
      <c r="D18">
        <f>E18*D7/E7</f>
        <v>28.35</v>
      </c>
      <c r="E18">
        <f>45*0.9</f>
        <v>40.5</v>
      </c>
      <c r="F18">
        <f>E18*$F$11</f>
        <v>43.335</v>
      </c>
      <c r="G18">
        <f>F18*$G$11</f>
        <v>46.15177500000001</v>
      </c>
      <c r="H18">
        <f>G18*$H$11</f>
        <v>48.92088150000002</v>
      </c>
      <c r="I18">
        <f>H18*$I$11</f>
        <v>51.61152998250004</v>
      </c>
      <c r="J18">
        <f>I18*$J$11</f>
        <v>54.19210648162507</v>
      </c>
      <c r="K18">
        <f>J18*$K$11</f>
        <v>56.63075127329823</v>
      </c>
      <c r="L18">
        <f>K18*$L$11</f>
        <v>58.8959813242302</v>
      </c>
      <c r="M18">
        <f>L18*$M$11</f>
        <v>60.957340670578304</v>
      </c>
      <c r="N18">
        <f>M18*$N$11</f>
        <v>62.78606089069571</v>
      </c>
    </row>
    <row r="19" spans="1:14" ht="12.75">
      <c r="A19" t="s">
        <v>19</v>
      </c>
      <c r="D19">
        <f>E19*D8/E8</f>
        <v>39</v>
      </c>
      <c r="E19">
        <f>65*0.9</f>
        <v>58.5</v>
      </c>
      <c r="F19">
        <f>E19*$F$11</f>
        <v>62.595000000000006</v>
      </c>
      <c r="G19">
        <f>F19*$G$11</f>
        <v>66.66367500000001</v>
      </c>
      <c r="H19">
        <f>G19*$H$11</f>
        <v>70.66349550000002</v>
      </c>
      <c r="I19">
        <f>H19*$I$11</f>
        <v>74.54998775250006</v>
      </c>
      <c r="J19">
        <f>I19*$J$11</f>
        <v>78.2774871401251</v>
      </c>
      <c r="K19">
        <f>J19*$K$11</f>
        <v>81.79997406143077</v>
      </c>
      <c r="L19">
        <f>K19*$L$11</f>
        <v>85.07197302388806</v>
      </c>
      <c r="M19">
        <f>L19*$M$11</f>
        <v>88.04949207972422</v>
      </c>
      <c r="N19">
        <f>M19*$N$11</f>
        <v>90.69097684211603</v>
      </c>
    </row>
    <row r="20" ht="12.75">
      <c r="A20" t="s">
        <v>25</v>
      </c>
    </row>
    <row r="21" spans="1:14" ht="12.75">
      <c r="A21" t="s">
        <v>17</v>
      </c>
      <c r="D21">
        <f aca="true" t="shared" si="4" ref="D21:N21">D17*1000/D6</f>
        <v>250</v>
      </c>
      <c r="E21">
        <f t="shared" si="4"/>
        <v>250</v>
      </c>
      <c r="F21">
        <f t="shared" si="4"/>
        <v>267.50000000000006</v>
      </c>
      <c r="G21">
        <f t="shared" si="4"/>
        <v>284.8875000000001</v>
      </c>
      <c r="H21">
        <f t="shared" si="4"/>
        <v>301.9807500000001</v>
      </c>
      <c r="I21">
        <f t="shared" si="4"/>
        <v>318.5896912500003</v>
      </c>
      <c r="J21">
        <f t="shared" si="4"/>
        <v>334.51917581250046</v>
      </c>
      <c r="K21">
        <f t="shared" si="4"/>
        <v>349.5725387240632</v>
      </c>
      <c r="L21">
        <f t="shared" si="4"/>
        <v>363.55544027302597</v>
      </c>
      <c r="M21">
        <f t="shared" si="4"/>
        <v>376.27988068258213</v>
      </c>
      <c r="N21">
        <f t="shared" si="4"/>
        <v>387.56827710305987</v>
      </c>
    </row>
    <row r="22" spans="1:14" ht="12.75">
      <c r="A22" t="s">
        <v>18</v>
      </c>
      <c r="D22">
        <f aca="true" t="shared" si="5" ref="D22:N22">D18*1000/D7</f>
        <v>450</v>
      </c>
      <c r="E22">
        <f t="shared" si="5"/>
        <v>450</v>
      </c>
      <c r="F22">
        <f t="shared" si="5"/>
        <v>481.5</v>
      </c>
      <c r="G22">
        <f t="shared" si="5"/>
        <v>512.7975000000001</v>
      </c>
      <c r="H22">
        <f t="shared" si="5"/>
        <v>543.5653500000003</v>
      </c>
      <c r="I22">
        <f t="shared" si="5"/>
        <v>573.4614442500005</v>
      </c>
      <c r="J22">
        <f t="shared" si="5"/>
        <v>602.1345164625008</v>
      </c>
      <c r="K22">
        <f t="shared" si="5"/>
        <v>629.2305697033137</v>
      </c>
      <c r="L22">
        <f t="shared" si="5"/>
        <v>654.3997924914466</v>
      </c>
      <c r="M22">
        <f t="shared" si="5"/>
        <v>677.3037852286478</v>
      </c>
      <c r="N22">
        <f t="shared" si="5"/>
        <v>697.6228987855078</v>
      </c>
    </row>
    <row r="23" spans="1:12" ht="12.75">
      <c r="A23" t="s">
        <v>19</v>
      </c>
      <c r="D23">
        <f aca="true" t="shared" si="6" ref="D23:L23">D19*1000/D8</f>
        <v>433.3333333333333</v>
      </c>
      <c r="E23">
        <f t="shared" si="6"/>
        <v>433.3333333333333</v>
      </c>
      <c r="F23">
        <f t="shared" si="6"/>
        <v>463.66666666666674</v>
      </c>
      <c r="G23">
        <f t="shared" si="6"/>
        <v>493.8050000000001</v>
      </c>
      <c r="H23">
        <f t="shared" si="6"/>
        <v>523.4333000000001</v>
      </c>
      <c r="I23">
        <f t="shared" si="6"/>
        <v>552.2221315000005</v>
      </c>
      <c r="J23">
        <f t="shared" si="6"/>
        <v>579.8332380750007</v>
      </c>
      <c r="K23">
        <f t="shared" si="6"/>
        <v>605.9257337883762</v>
      </c>
      <c r="L23">
        <f t="shared" si="6"/>
        <v>630.1627631399116</v>
      </c>
    </row>
    <row r="24" ht="12.75">
      <c r="A24" t="s">
        <v>26</v>
      </c>
    </row>
    <row r="25" spans="1:14" ht="12.75">
      <c r="A25" t="s">
        <v>17</v>
      </c>
      <c r="D25">
        <f aca="true" t="shared" si="7" ref="D25:N25">D13+D17</f>
        <v>64.284</v>
      </c>
      <c r="E25">
        <f t="shared" si="7"/>
        <v>96.426</v>
      </c>
      <c r="F25">
        <f t="shared" si="7"/>
        <v>103.17582000000002</v>
      </c>
      <c r="G25">
        <f t="shared" si="7"/>
        <v>109.88224830000004</v>
      </c>
      <c r="H25">
        <f t="shared" si="7"/>
        <v>116.47518319800005</v>
      </c>
      <c r="I25">
        <f t="shared" si="7"/>
        <v>122.88131827389012</v>
      </c>
      <c r="J25">
        <f t="shared" si="7"/>
        <v>129.02538418758468</v>
      </c>
      <c r="K25">
        <f t="shared" si="7"/>
        <v>134.83152647602606</v>
      </c>
      <c r="L25">
        <f t="shared" si="7"/>
        <v>140.2247875350672</v>
      </c>
      <c r="M25">
        <f t="shared" si="7"/>
        <v>145.13265509879466</v>
      </c>
      <c r="N25">
        <f t="shared" si="7"/>
        <v>149.48663475175863</v>
      </c>
    </row>
    <row r="26" spans="1:14" ht="12.75">
      <c r="A26" t="s">
        <v>18</v>
      </c>
      <c r="D26">
        <f aca="true" t="shared" si="8" ref="D26:N26">D14+D18</f>
        <v>40.502700000000004</v>
      </c>
      <c r="E26">
        <f t="shared" si="8"/>
        <v>57.861000000000004</v>
      </c>
      <c r="F26">
        <f t="shared" si="8"/>
        <v>61.91127</v>
      </c>
      <c r="G26">
        <f t="shared" si="8"/>
        <v>65.93550255000001</v>
      </c>
      <c r="H26">
        <f t="shared" si="8"/>
        <v>69.89163270300003</v>
      </c>
      <c r="I26">
        <f t="shared" si="8"/>
        <v>73.73567250166505</v>
      </c>
      <c r="J26">
        <f t="shared" si="8"/>
        <v>77.42245612674834</v>
      </c>
      <c r="K26">
        <f t="shared" si="8"/>
        <v>80.90646665245207</v>
      </c>
      <c r="L26">
        <f t="shared" si="8"/>
        <v>84.1427253185502</v>
      </c>
      <c r="M26">
        <f t="shared" si="8"/>
        <v>87.08772070469954</v>
      </c>
      <c r="N26">
        <f t="shared" si="8"/>
        <v>89.7003523258406</v>
      </c>
    </row>
    <row r="27" spans="1:15" ht="12.75">
      <c r="A27" t="s">
        <v>19</v>
      </c>
      <c r="D27">
        <f aca="true" t="shared" si="9" ref="D27:N27">D15+D19</f>
        <v>55.722</v>
      </c>
      <c r="E27">
        <f t="shared" si="9"/>
        <v>83.583</v>
      </c>
      <c r="F27">
        <f t="shared" si="9"/>
        <v>89.43381000000001</v>
      </c>
      <c r="G27">
        <f t="shared" si="9"/>
        <v>95.24700765000001</v>
      </c>
      <c r="H27">
        <f t="shared" si="9"/>
        <v>100.96182810900004</v>
      </c>
      <c r="I27">
        <f t="shared" si="9"/>
        <v>106.51472865499508</v>
      </c>
      <c r="J27">
        <f t="shared" si="9"/>
        <v>111.84046508774489</v>
      </c>
      <c r="K27">
        <f t="shared" si="9"/>
        <v>116.87328601669347</v>
      </c>
      <c r="L27">
        <f t="shared" si="9"/>
        <v>121.54821745736129</v>
      </c>
      <c r="M27">
        <f t="shared" si="9"/>
        <v>125.80240506836904</v>
      </c>
      <c r="N27">
        <f t="shared" si="9"/>
        <v>129.57647722042023</v>
      </c>
      <c r="O27">
        <f>SUM(D25:N27)</f>
        <v>3238.0262819686614</v>
      </c>
    </row>
    <row r="28" ht="12.75">
      <c r="A28" t="s">
        <v>27</v>
      </c>
    </row>
    <row r="29" spans="1:14" ht="12.75">
      <c r="A29" t="s">
        <v>17</v>
      </c>
      <c r="D29">
        <f aca="true" t="shared" si="10" ref="D29:N29">D25/(D25+D26+D27)*100</f>
        <v>40.05016550504739</v>
      </c>
      <c r="E29">
        <f t="shared" si="10"/>
        <v>40.53726825576996</v>
      </c>
      <c r="F29">
        <f t="shared" si="10"/>
        <v>40.53726825576996</v>
      </c>
      <c r="G29">
        <f t="shared" si="10"/>
        <v>40.53726825576997</v>
      </c>
      <c r="H29">
        <f t="shared" si="10"/>
        <v>40.53726825576996</v>
      </c>
      <c r="I29">
        <f t="shared" si="10"/>
        <v>40.537268255769966</v>
      </c>
      <c r="J29">
        <f t="shared" si="10"/>
        <v>40.537268255769966</v>
      </c>
      <c r="K29">
        <f t="shared" si="10"/>
        <v>40.537268255769966</v>
      </c>
      <c r="L29">
        <f t="shared" si="10"/>
        <v>40.537268255769966</v>
      </c>
      <c r="M29">
        <f t="shared" si="10"/>
        <v>40.53726825576996</v>
      </c>
      <c r="N29">
        <f t="shared" si="10"/>
        <v>40.53726825576996</v>
      </c>
    </row>
    <row r="30" spans="1:14" ht="12.75">
      <c r="A30" t="s">
        <v>18</v>
      </c>
      <c r="D30">
        <f aca="true" t="shared" si="11" ref="D30:N30">D26/(D26+D27+D25)*100</f>
        <v>25.233959280711883</v>
      </c>
      <c r="E30">
        <f t="shared" si="11"/>
        <v>24.32463110102157</v>
      </c>
      <c r="F30">
        <f t="shared" si="11"/>
        <v>24.324631101021566</v>
      </c>
      <c r="G30">
        <f t="shared" si="11"/>
        <v>24.324631101021566</v>
      </c>
      <c r="H30">
        <f t="shared" si="11"/>
        <v>24.324631101021566</v>
      </c>
      <c r="I30">
        <f t="shared" si="11"/>
        <v>24.324631101021566</v>
      </c>
      <c r="J30">
        <f t="shared" si="11"/>
        <v>24.324631101021563</v>
      </c>
      <c r="K30">
        <f t="shared" si="11"/>
        <v>24.32463110102157</v>
      </c>
      <c r="L30">
        <f t="shared" si="11"/>
        <v>24.324631101021566</v>
      </c>
      <c r="M30">
        <f t="shared" si="11"/>
        <v>24.324631101021566</v>
      </c>
      <c r="N30">
        <f t="shared" si="11"/>
        <v>24.324631101021566</v>
      </c>
    </row>
    <row r="31" spans="1:14" ht="12.75">
      <c r="A31" t="s">
        <v>19</v>
      </c>
      <c r="D31">
        <f aca="true" t="shared" si="12" ref="D31:N31">D27/(D25+D26+D27)*100</f>
        <v>34.71587521424072</v>
      </c>
      <c r="E31">
        <f t="shared" si="12"/>
        <v>35.138100643208475</v>
      </c>
      <c r="F31">
        <f t="shared" si="12"/>
        <v>35.138100643208475</v>
      </c>
      <c r="G31">
        <f t="shared" si="12"/>
        <v>35.138100643208475</v>
      </c>
      <c r="H31">
        <f t="shared" si="12"/>
        <v>35.138100643208475</v>
      </c>
      <c r="I31">
        <f t="shared" si="12"/>
        <v>35.138100643208475</v>
      </c>
      <c r="J31">
        <f t="shared" si="12"/>
        <v>35.13810064320848</v>
      </c>
      <c r="K31">
        <f t="shared" si="12"/>
        <v>35.138100643208475</v>
      </c>
      <c r="L31">
        <f t="shared" si="12"/>
        <v>35.138100643208475</v>
      </c>
      <c r="M31">
        <f t="shared" si="12"/>
        <v>35.138100643208475</v>
      </c>
      <c r="N31">
        <f t="shared" si="12"/>
        <v>35.138100643208475</v>
      </c>
    </row>
    <row r="32" ht="12.75">
      <c r="A32" t="s">
        <v>28</v>
      </c>
    </row>
    <row r="33" spans="1:14" ht="12.75">
      <c r="A33" t="s">
        <v>17</v>
      </c>
      <c r="D33">
        <f aca="true" t="shared" si="13" ref="D33:N33">D25/D6*1000</f>
        <v>357.1333333333334</v>
      </c>
      <c r="E33">
        <f t="shared" si="13"/>
        <v>357.1333333333334</v>
      </c>
      <c r="F33">
        <f t="shared" si="13"/>
        <v>382.13266666666675</v>
      </c>
      <c r="G33">
        <f t="shared" si="13"/>
        <v>406.9712900000001</v>
      </c>
      <c r="H33">
        <f t="shared" si="13"/>
        <v>431.38956740000015</v>
      </c>
      <c r="I33">
        <f t="shared" si="13"/>
        <v>455.11599360700046</v>
      </c>
      <c r="J33">
        <f t="shared" si="13"/>
        <v>477.8717932873506</v>
      </c>
      <c r="K33">
        <f t="shared" si="13"/>
        <v>499.3760239852817</v>
      </c>
      <c r="L33">
        <f t="shared" si="13"/>
        <v>519.3510649446935</v>
      </c>
      <c r="M33">
        <f t="shared" si="13"/>
        <v>537.528352217758</v>
      </c>
      <c r="N33">
        <f t="shared" si="13"/>
        <v>553.6542027842912</v>
      </c>
    </row>
    <row r="34" spans="1:14" ht="12.75">
      <c r="A34" t="s">
        <v>18</v>
      </c>
      <c r="D34">
        <f aca="true" t="shared" si="14" ref="D34:N34">D26/D7*1000</f>
        <v>642.9</v>
      </c>
      <c r="E34">
        <f t="shared" si="14"/>
        <v>642.9</v>
      </c>
      <c r="F34">
        <f t="shared" si="14"/>
        <v>687.903</v>
      </c>
      <c r="G34">
        <f t="shared" si="14"/>
        <v>732.6166950000002</v>
      </c>
      <c r="H34">
        <f t="shared" si="14"/>
        <v>776.5736967000004</v>
      </c>
      <c r="I34">
        <f t="shared" si="14"/>
        <v>819.2852500185006</v>
      </c>
      <c r="J34">
        <f t="shared" si="14"/>
        <v>860.249512519426</v>
      </c>
      <c r="K34">
        <f t="shared" si="14"/>
        <v>898.9607405828008</v>
      </c>
      <c r="L34">
        <f t="shared" si="14"/>
        <v>934.9191702061133</v>
      </c>
      <c r="M34">
        <f t="shared" si="14"/>
        <v>967.6413411633281</v>
      </c>
      <c r="N34">
        <f t="shared" si="14"/>
        <v>996.6705813982288</v>
      </c>
    </row>
    <row r="35" spans="1:14" ht="12.75">
      <c r="A35" t="s">
        <v>19</v>
      </c>
      <c r="D35">
        <f aca="true" t="shared" si="15" ref="D35:N35">D27/D8*1000</f>
        <v>619.1333333333333</v>
      </c>
      <c r="E35">
        <f t="shared" si="15"/>
        <v>619.1333333333333</v>
      </c>
      <c r="F35">
        <f t="shared" si="15"/>
        <v>662.4726666666667</v>
      </c>
      <c r="G35">
        <f t="shared" si="15"/>
        <v>705.5333900000002</v>
      </c>
      <c r="H35">
        <f t="shared" si="15"/>
        <v>747.8653934000002</v>
      </c>
      <c r="I35">
        <f t="shared" si="15"/>
        <v>788.9979900370007</v>
      </c>
      <c r="J35">
        <f t="shared" si="15"/>
        <v>828.4478895388511</v>
      </c>
      <c r="K35">
        <f t="shared" si="15"/>
        <v>865.7280445680998</v>
      </c>
      <c r="L35">
        <f t="shared" si="15"/>
        <v>900.3571663508244</v>
      </c>
      <c r="M35">
        <f t="shared" si="15"/>
        <v>931.8696671731041</v>
      </c>
      <c r="N35">
        <f t="shared" si="15"/>
        <v>959.825757188298</v>
      </c>
    </row>
    <row r="36" ht="12.75">
      <c r="A36" t="s">
        <v>29</v>
      </c>
    </row>
    <row r="37" spans="1:14" ht="12.75">
      <c r="A37" t="s">
        <v>17</v>
      </c>
      <c r="D37">
        <v>25</v>
      </c>
      <c r="E37">
        <v>25</v>
      </c>
      <c r="F37">
        <v>25</v>
      </c>
      <c r="G37">
        <v>25</v>
      </c>
      <c r="H37">
        <v>25</v>
      </c>
      <c r="I37">
        <v>25</v>
      </c>
      <c r="J37">
        <v>25</v>
      </c>
      <c r="K37">
        <v>25</v>
      </c>
      <c r="L37">
        <v>25</v>
      </c>
      <c r="M37">
        <v>25</v>
      </c>
      <c r="N37">
        <v>25</v>
      </c>
    </row>
    <row r="38" spans="1:14" ht="12.75">
      <c r="A38" t="s">
        <v>18</v>
      </c>
      <c r="D38">
        <v>20</v>
      </c>
      <c r="E38">
        <v>20</v>
      </c>
      <c r="F38">
        <v>20</v>
      </c>
      <c r="G38">
        <v>20</v>
      </c>
      <c r="H38">
        <v>20</v>
      </c>
      <c r="I38">
        <v>20</v>
      </c>
      <c r="J38">
        <v>20</v>
      </c>
      <c r="K38">
        <v>20</v>
      </c>
      <c r="L38">
        <v>20</v>
      </c>
      <c r="M38">
        <v>20</v>
      </c>
      <c r="N38">
        <v>20</v>
      </c>
    </row>
    <row r="39" spans="1:14" ht="12.75">
      <c r="A39" t="s">
        <v>19</v>
      </c>
      <c r="D39">
        <v>30</v>
      </c>
      <c r="E39">
        <v>30</v>
      </c>
      <c r="F39">
        <v>30</v>
      </c>
      <c r="G39">
        <v>30</v>
      </c>
      <c r="H39">
        <v>30</v>
      </c>
      <c r="I39">
        <v>30</v>
      </c>
      <c r="J39">
        <v>30</v>
      </c>
      <c r="K39">
        <v>30</v>
      </c>
      <c r="L39">
        <v>30</v>
      </c>
      <c r="M39">
        <v>30</v>
      </c>
      <c r="N39">
        <v>30</v>
      </c>
    </row>
    <row r="40" ht="12.75">
      <c r="A40" t="s">
        <v>30</v>
      </c>
    </row>
    <row r="41" spans="1:14" ht="12.75">
      <c r="A41" t="s">
        <v>17</v>
      </c>
      <c r="D41">
        <f>D33*(1+D37/100)*0.9</f>
        <v>401.7750000000001</v>
      </c>
      <c r="E41">
        <f aca="true" t="shared" si="16" ref="E41:N41">E33*(1+E37/100)*0.9</f>
        <v>401.7750000000001</v>
      </c>
      <c r="F41">
        <f t="shared" si="16"/>
        <v>429.8992500000001</v>
      </c>
      <c r="G41">
        <f t="shared" si="16"/>
        <v>457.8427012500002</v>
      </c>
      <c r="H41">
        <f t="shared" si="16"/>
        <v>485.31326332500015</v>
      </c>
      <c r="I41">
        <f t="shared" si="16"/>
        <v>512.0054928078755</v>
      </c>
      <c r="J41">
        <f t="shared" si="16"/>
        <v>537.6057674482695</v>
      </c>
      <c r="K41">
        <f t="shared" si="16"/>
        <v>561.7980269834419</v>
      </c>
      <c r="L41">
        <f t="shared" si="16"/>
        <v>584.2699480627801</v>
      </c>
      <c r="M41">
        <f t="shared" si="16"/>
        <v>604.7193962449777</v>
      </c>
      <c r="N41">
        <f t="shared" si="16"/>
        <v>622.8609781323277</v>
      </c>
    </row>
    <row r="42" spans="1:14" ht="12.75">
      <c r="A42" t="s">
        <v>18</v>
      </c>
      <c r="D42">
        <f aca="true" t="shared" si="17" ref="D42:N43">D34*(1+D38/100)*0.9</f>
        <v>694.3319999999999</v>
      </c>
      <c r="E42">
        <f t="shared" si="17"/>
        <v>694.3319999999999</v>
      </c>
      <c r="F42">
        <f t="shared" si="17"/>
        <v>742.93524</v>
      </c>
      <c r="G42">
        <f t="shared" si="17"/>
        <v>791.2260306000002</v>
      </c>
      <c r="H42">
        <f t="shared" si="17"/>
        <v>838.6995924360004</v>
      </c>
      <c r="I42">
        <f t="shared" si="17"/>
        <v>884.8280700199807</v>
      </c>
      <c r="J42">
        <f t="shared" si="17"/>
        <v>929.0694735209801</v>
      </c>
      <c r="K42">
        <f t="shared" si="17"/>
        <v>970.8775998294249</v>
      </c>
      <c r="L42">
        <f t="shared" si="17"/>
        <v>1009.7127038226024</v>
      </c>
      <c r="M42">
        <f t="shared" si="17"/>
        <v>1045.0526484563943</v>
      </c>
      <c r="N42">
        <f t="shared" si="17"/>
        <v>1076.404227910087</v>
      </c>
    </row>
    <row r="43" spans="1:14" ht="12.75">
      <c r="A43" t="s">
        <v>19</v>
      </c>
      <c r="D43">
        <f t="shared" si="17"/>
        <v>724.386</v>
      </c>
      <c r="E43">
        <f t="shared" si="17"/>
        <v>724.386</v>
      </c>
      <c r="F43">
        <f t="shared" si="17"/>
        <v>775.09302</v>
      </c>
      <c r="G43">
        <f t="shared" si="17"/>
        <v>825.4740663000002</v>
      </c>
      <c r="H43">
        <f t="shared" si="17"/>
        <v>875.0025102780003</v>
      </c>
      <c r="I43">
        <f t="shared" si="17"/>
        <v>923.127648343291</v>
      </c>
      <c r="J43">
        <f t="shared" si="17"/>
        <v>969.2840307604558</v>
      </c>
      <c r="K43">
        <f t="shared" si="17"/>
        <v>1012.9018121446769</v>
      </c>
      <c r="L43">
        <f t="shared" si="17"/>
        <v>1053.4178846304646</v>
      </c>
      <c r="M43">
        <f t="shared" si="17"/>
        <v>1090.2875105925318</v>
      </c>
      <c r="N43">
        <f t="shared" si="17"/>
        <v>1122.9961359103088</v>
      </c>
    </row>
    <row r="44" ht="12.75">
      <c r="A44" t="s">
        <v>31</v>
      </c>
    </row>
    <row r="45" spans="1:14" ht="12.75">
      <c r="A45" t="s">
        <v>17</v>
      </c>
      <c r="D45">
        <f aca="true" t="shared" si="18" ref="D45:N45">D41*D6/1000</f>
        <v>72.31950000000002</v>
      </c>
      <c r="E45">
        <f t="shared" si="18"/>
        <v>108.47925000000004</v>
      </c>
      <c r="F45">
        <f t="shared" si="18"/>
        <v>116.07279750000004</v>
      </c>
      <c r="G45">
        <f t="shared" si="18"/>
        <v>123.61752933750005</v>
      </c>
      <c r="H45">
        <f t="shared" si="18"/>
        <v>131.03458109775005</v>
      </c>
      <c r="I45">
        <f t="shared" si="18"/>
        <v>138.2414830581264</v>
      </c>
      <c r="J45">
        <f t="shared" si="18"/>
        <v>145.15355721103276</v>
      </c>
      <c r="K45">
        <f t="shared" si="18"/>
        <v>151.6854672855293</v>
      </c>
      <c r="L45">
        <f t="shared" si="18"/>
        <v>157.75288597695064</v>
      </c>
      <c r="M45">
        <f t="shared" si="18"/>
        <v>163.274236986144</v>
      </c>
      <c r="N45">
        <f t="shared" si="18"/>
        <v>168.17246409572846</v>
      </c>
    </row>
    <row r="46" spans="1:14" ht="12.75">
      <c r="A46" t="s">
        <v>18</v>
      </c>
      <c r="D46">
        <f aca="true" t="shared" si="19" ref="D46:N46">D42*D7/1000</f>
        <v>43.74291599999999</v>
      </c>
      <c r="E46">
        <f t="shared" si="19"/>
        <v>62.48987999999999</v>
      </c>
      <c r="F46">
        <f t="shared" si="19"/>
        <v>66.8641716</v>
      </c>
      <c r="G46">
        <f t="shared" si="19"/>
        <v>71.21034275400001</v>
      </c>
      <c r="H46">
        <f t="shared" si="19"/>
        <v>75.48296331924004</v>
      </c>
      <c r="I46">
        <f t="shared" si="19"/>
        <v>79.63452630179826</v>
      </c>
      <c r="J46">
        <f t="shared" si="19"/>
        <v>83.6162526168882</v>
      </c>
      <c r="K46">
        <f t="shared" si="19"/>
        <v>87.37898398464823</v>
      </c>
      <c r="L46">
        <f t="shared" si="19"/>
        <v>90.87414334403422</v>
      </c>
      <c r="M46">
        <f t="shared" si="19"/>
        <v>94.0547383610755</v>
      </c>
      <c r="N46">
        <f t="shared" si="19"/>
        <v>96.87638051190783</v>
      </c>
    </row>
    <row r="47" spans="1:15" ht="12.75">
      <c r="A47" t="s">
        <v>19</v>
      </c>
      <c r="D47">
        <f aca="true" t="shared" si="20" ref="D47:N47">D43*D8/1000</f>
        <v>65.19474</v>
      </c>
      <c r="E47">
        <f t="shared" si="20"/>
        <v>97.79211</v>
      </c>
      <c r="F47">
        <f t="shared" si="20"/>
        <v>104.6375577</v>
      </c>
      <c r="G47">
        <f t="shared" si="20"/>
        <v>111.43899895050002</v>
      </c>
      <c r="H47">
        <f t="shared" si="20"/>
        <v>118.12533888753003</v>
      </c>
      <c r="I47">
        <f t="shared" si="20"/>
        <v>124.62223252634428</v>
      </c>
      <c r="J47">
        <f t="shared" si="20"/>
        <v>130.85334415266155</v>
      </c>
      <c r="K47">
        <f t="shared" si="20"/>
        <v>136.7417446395314</v>
      </c>
      <c r="L47">
        <f t="shared" si="20"/>
        <v>142.2114144251127</v>
      </c>
      <c r="M47">
        <f t="shared" si="20"/>
        <v>147.1888139299918</v>
      </c>
      <c r="N47">
        <f t="shared" si="20"/>
        <v>151.60447834789167</v>
      </c>
      <c r="O47">
        <f>SUM(D45:N47)</f>
        <v>3658.4398249019173</v>
      </c>
    </row>
    <row r="48" spans="1:15" ht="12.75">
      <c r="A48" t="s">
        <v>32</v>
      </c>
      <c r="D48">
        <f aca="true" t="shared" si="21" ref="D48:N48">(D45+D46+D47)-(D25+D26+D27)</f>
        <v>20.748456000000004</v>
      </c>
      <c r="E48">
        <f t="shared" si="21"/>
        <v>30.89124000000004</v>
      </c>
      <c r="F48">
        <f t="shared" si="21"/>
        <v>33.05362680000002</v>
      </c>
      <c r="G48">
        <f t="shared" si="21"/>
        <v>35.202112542000066</v>
      </c>
      <c r="H48">
        <f t="shared" si="21"/>
        <v>37.31423929452001</v>
      </c>
      <c r="I48">
        <f t="shared" si="21"/>
        <v>39.36652245571872</v>
      </c>
      <c r="J48">
        <f t="shared" si="21"/>
        <v>41.33484857850465</v>
      </c>
      <c r="K48">
        <f t="shared" si="21"/>
        <v>43.19491676453731</v>
      </c>
      <c r="L48">
        <f t="shared" si="21"/>
        <v>44.92271343511891</v>
      </c>
      <c r="M48">
        <f t="shared" si="21"/>
        <v>46.495008405348074</v>
      </c>
      <c r="N48">
        <f t="shared" si="21"/>
        <v>47.88985865750851</v>
      </c>
      <c r="O48">
        <f>SUM(D48:N48)</f>
        <v>420.41354293325634</v>
      </c>
    </row>
    <row r="49" spans="1:14" ht="12.75">
      <c r="A49" t="s">
        <v>33</v>
      </c>
      <c r="D49">
        <f aca="true" t="shared" si="22" ref="D49:N49">(D25+D26+D27)/10</f>
        <v>16.05087</v>
      </c>
      <c r="E49">
        <f t="shared" si="22"/>
        <v>23.787</v>
      </c>
      <c r="F49">
        <f t="shared" si="22"/>
        <v>25.452090000000005</v>
      </c>
      <c r="G49">
        <f t="shared" si="22"/>
        <v>27.106475850000002</v>
      </c>
      <c r="H49">
        <f t="shared" si="22"/>
        <v>28.73286440100001</v>
      </c>
      <c r="I49">
        <f t="shared" si="22"/>
        <v>30.31317194305502</v>
      </c>
      <c r="J49">
        <f t="shared" si="22"/>
        <v>31.828830540207786</v>
      </c>
      <c r="K49">
        <f t="shared" si="22"/>
        <v>33.26112791451716</v>
      </c>
      <c r="L49">
        <f t="shared" si="22"/>
        <v>34.591573031097866</v>
      </c>
      <c r="M49">
        <f t="shared" si="22"/>
        <v>35.80227808718632</v>
      </c>
      <c r="N49">
        <f t="shared" si="22"/>
        <v>36.87634642980195</v>
      </c>
    </row>
    <row r="50" spans="1:14" ht="12.75">
      <c r="A50" t="s">
        <v>34</v>
      </c>
      <c r="B50">
        <f aca="true" t="shared" si="23" ref="B50:G50">B10*0.2*1.1</f>
        <v>24.200000000000003</v>
      </c>
      <c r="C50">
        <f t="shared" si="23"/>
        <v>48.400000000000006</v>
      </c>
      <c r="D50">
        <f t="shared" si="23"/>
        <v>60.50000000000001</v>
      </c>
      <c r="E50">
        <f t="shared" si="23"/>
        <v>58.937067199999994</v>
      </c>
      <c r="F50">
        <f t="shared" si="23"/>
        <v>57.26472910399999</v>
      </c>
      <c r="G50">
        <f t="shared" si="23"/>
        <v>55.48368903175998</v>
      </c>
      <c r="H50">
        <v>0</v>
      </c>
      <c r="I50">
        <f aca="true" t="shared" si="24" ref="I50:N50">I10*0.2</f>
        <v>0</v>
      </c>
      <c r="J50">
        <f t="shared" si="24"/>
        <v>0</v>
      </c>
      <c r="K50">
        <f t="shared" si="24"/>
        <v>0</v>
      </c>
      <c r="L50">
        <f t="shared" si="24"/>
        <v>0</v>
      </c>
      <c r="M50">
        <f t="shared" si="24"/>
        <v>0</v>
      </c>
      <c r="N50">
        <f t="shared" si="24"/>
        <v>0</v>
      </c>
    </row>
    <row r="51" spans="1:4" ht="12.75">
      <c r="A51" t="s">
        <v>35</v>
      </c>
      <c r="B51">
        <f>-(B48-B49-B50)</f>
        <v>24.200000000000003</v>
      </c>
      <c r="C51">
        <f>-(C48-C49-C50)+B52</f>
        <v>53.724000000000004</v>
      </c>
      <c r="D51">
        <f>-(D48-D49-D50)+C52</f>
        <v>67.621694</v>
      </c>
    </row>
    <row r="52" spans="1:4" ht="12.75">
      <c r="A52" t="s">
        <v>36</v>
      </c>
      <c r="B52">
        <f>B51*0.2*1.1</f>
        <v>5.324000000000002</v>
      </c>
      <c r="C52">
        <f>C51*0.2*1.1</f>
        <v>11.819280000000003</v>
      </c>
      <c r="D52">
        <f>D51*0.2*1.1</f>
        <v>14.876772680000004</v>
      </c>
    </row>
    <row r="53" spans="1:15" ht="12.75">
      <c r="A53" t="s">
        <v>37</v>
      </c>
      <c r="B53">
        <f>-B50-B52</f>
        <v>-29.524000000000004</v>
      </c>
      <c r="C53">
        <f>-C50-C52</f>
        <v>-60.21928000000001</v>
      </c>
      <c r="D53">
        <f aca="true" t="shared" si="25" ref="D53:N53">D48-D49-D50-D52</f>
        <v>-70.67918668</v>
      </c>
      <c r="E53">
        <f t="shared" si="25"/>
        <v>-51.832827199999954</v>
      </c>
      <c r="F53">
        <f t="shared" si="25"/>
        <v>-49.66319230399998</v>
      </c>
      <c r="G53">
        <f t="shared" si="25"/>
        <v>-47.388052339759916</v>
      </c>
      <c r="H53">
        <f t="shared" si="25"/>
        <v>8.581374893519996</v>
      </c>
      <c r="I53">
        <f t="shared" si="25"/>
        <v>9.053350512663702</v>
      </c>
      <c r="J53">
        <f t="shared" si="25"/>
        <v>9.506018038296862</v>
      </c>
      <c r="K53">
        <f t="shared" si="25"/>
        <v>9.93378885002015</v>
      </c>
      <c r="L53">
        <f t="shared" si="25"/>
        <v>10.331140404021042</v>
      </c>
      <c r="M53">
        <f t="shared" si="25"/>
        <v>10.69273031816175</v>
      </c>
      <c r="N53">
        <f t="shared" si="25"/>
        <v>11.013512227706563</v>
      </c>
      <c r="O53">
        <f>SUM(B53:N53)</f>
        <v>-240.19462327936972</v>
      </c>
    </row>
    <row r="54" spans="1:14" ht="12.75">
      <c r="A54" t="s">
        <v>38</v>
      </c>
      <c r="B54">
        <v>0</v>
      </c>
      <c r="C54">
        <v>0</v>
      </c>
      <c r="D54">
        <v>0</v>
      </c>
      <c r="E54">
        <f aca="true" t="shared" si="26" ref="E54:N54">E53*0.3</f>
        <v>-15.549848159999986</v>
      </c>
      <c r="F54">
        <f t="shared" si="26"/>
        <v>-14.898957691199993</v>
      </c>
      <c r="G54">
        <f t="shared" si="26"/>
        <v>-14.216415701927975</v>
      </c>
      <c r="H54">
        <f t="shared" si="26"/>
        <v>2.5744124680559985</v>
      </c>
      <c r="I54">
        <f t="shared" si="26"/>
        <v>2.7160051537991103</v>
      </c>
      <c r="J54">
        <f t="shared" si="26"/>
        <v>2.8518054114890585</v>
      </c>
      <c r="K54">
        <f t="shared" si="26"/>
        <v>2.980136655006045</v>
      </c>
      <c r="L54">
        <f t="shared" si="26"/>
        <v>3.0993421212063126</v>
      </c>
      <c r="M54">
        <f t="shared" si="26"/>
        <v>3.207819095448525</v>
      </c>
      <c r="N54">
        <f t="shared" si="26"/>
        <v>3.304053668311969</v>
      </c>
    </row>
    <row r="55" spans="1:15" ht="12.75">
      <c r="A55" t="s">
        <v>39</v>
      </c>
      <c r="B55">
        <f aca="true" t="shared" si="27" ref="B55:N55">B53-B54</f>
        <v>-29.524000000000004</v>
      </c>
      <c r="C55">
        <f t="shared" si="27"/>
        <v>-60.21928000000001</v>
      </c>
      <c r="D55">
        <f t="shared" si="27"/>
        <v>-70.67918668</v>
      </c>
      <c r="E55">
        <f t="shared" si="27"/>
        <v>-36.28297903999997</v>
      </c>
      <c r="F55">
        <f t="shared" si="27"/>
        <v>-34.76423461279998</v>
      </c>
      <c r="G55">
        <f t="shared" si="27"/>
        <v>-33.17163663783194</v>
      </c>
      <c r="H55">
        <f t="shared" si="27"/>
        <v>6.006962425463998</v>
      </c>
      <c r="I55">
        <f t="shared" si="27"/>
        <v>6.337345358864591</v>
      </c>
      <c r="J55">
        <f t="shared" si="27"/>
        <v>6.654212626807803</v>
      </c>
      <c r="K55">
        <f t="shared" si="27"/>
        <v>6.953652195014105</v>
      </c>
      <c r="L55">
        <f t="shared" si="27"/>
        <v>7.231798282814729</v>
      </c>
      <c r="M55">
        <f t="shared" si="27"/>
        <v>7.484911222713226</v>
      </c>
      <c r="N55">
        <f t="shared" si="27"/>
        <v>7.709458559394594</v>
      </c>
      <c r="O55">
        <f>SUM(B55:N55)</f>
        <v>-216.26297629955886</v>
      </c>
    </row>
    <row r="56" spans="1:14" ht="12.75">
      <c r="A56" t="s">
        <v>40</v>
      </c>
      <c r="C56">
        <f>0.208*3</f>
        <v>0.624</v>
      </c>
      <c r="D56">
        <f>0.208*12+1.875*5</f>
        <v>11.871</v>
      </c>
      <c r="E56">
        <f aca="true" t="shared" si="28" ref="E56:M56">0.208*12+1.875*12</f>
        <v>24.996</v>
      </c>
      <c r="F56">
        <f t="shared" si="28"/>
        <v>24.996</v>
      </c>
      <c r="G56">
        <f t="shared" si="28"/>
        <v>24.996</v>
      </c>
      <c r="H56">
        <f t="shared" si="28"/>
        <v>24.996</v>
      </c>
      <c r="I56">
        <f t="shared" si="28"/>
        <v>24.996</v>
      </c>
      <c r="J56">
        <f t="shared" si="28"/>
        <v>24.996</v>
      </c>
      <c r="K56">
        <f t="shared" si="28"/>
        <v>24.996</v>
      </c>
      <c r="L56">
        <f t="shared" si="28"/>
        <v>24.996</v>
      </c>
      <c r="M56">
        <f t="shared" si="28"/>
        <v>24.996</v>
      </c>
      <c r="N56">
        <f>1.875*7+0.208*12</f>
        <v>15.621</v>
      </c>
    </row>
    <row r="58" spans="1:14" ht="12.75">
      <c r="A58" t="s">
        <v>41</v>
      </c>
      <c r="B58">
        <f>-B9+B55</f>
        <v>-139.524</v>
      </c>
      <c r="C58">
        <f aca="true" t="shared" si="29" ref="C58:N58">-C9+C55+C56</f>
        <v>-169.59528000000003</v>
      </c>
      <c r="D58">
        <f t="shared" si="29"/>
        <v>-113.80818668</v>
      </c>
      <c r="E58">
        <f t="shared" si="29"/>
        <v>-11.286979039999974</v>
      </c>
      <c r="F58">
        <f t="shared" si="29"/>
        <v>-9.768234612799983</v>
      </c>
      <c r="G58">
        <f t="shared" si="29"/>
        <v>-8.17563663783194</v>
      </c>
      <c r="H58">
        <f t="shared" si="29"/>
        <v>31.002962425464</v>
      </c>
      <c r="I58">
        <f t="shared" si="29"/>
        <v>31.33334535886459</v>
      </c>
      <c r="J58">
        <f t="shared" si="29"/>
        <v>31.6502126268078</v>
      </c>
      <c r="K58">
        <f t="shared" si="29"/>
        <v>31.949652195014103</v>
      </c>
      <c r="L58">
        <f t="shared" si="29"/>
        <v>32.22779828281473</v>
      </c>
      <c r="M58">
        <f t="shared" si="29"/>
        <v>32.480911222713225</v>
      </c>
      <c r="N58">
        <f t="shared" si="29"/>
        <v>23.330458559394593</v>
      </c>
    </row>
    <row r="59" spans="1:14" ht="12.75">
      <c r="A59" t="s">
        <v>42</v>
      </c>
      <c r="B59">
        <f>B58</f>
        <v>-139.524</v>
      </c>
      <c r="C59">
        <f aca="true" t="shared" si="30" ref="C59:N59">C58+B59</f>
        <v>-309.11928</v>
      </c>
      <c r="D59">
        <f t="shared" si="30"/>
        <v>-422.92746668</v>
      </c>
      <c r="E59">
        <f t="shared" si="30"/>
        <v>-434.21444571999996</v>
      </c>
      <c r="F59">
        <f t="shared" si="30"/>
        <v>-443.98268033279993</v>
      </c>
      <c r="G59">
        <f t="shared" si="30"/>
        <v>-452.15831697063186</v>
      </c>
      <c r="H59">
        <f t="shared" si="30"/>
        <v>-421.1553545451679</v>
      </c>
      <c r="I59">
        <f t="shared" si="30"/>
        <v>-389.82200918630326</v>
      </c>
      <c r="J59">
        <f t="shared" si="30"/>
        <v>-358.1717965594955</v>
      </c>
      <c r="K59">
        <f t="shared" si="30"/>
        <v>-326.2221443644814</v>
      </c>
      <c r="L59">
        <f t="shared" si="30"/>
        <v>-293.99434608166666</v>
      </c>
      <c r="M59">
        <f t="shared" si="30"/>
        <v>-261.5134348589534</v>
      </c>
      <c r="N59">
        <f t="shared" si="30"/>
        <v>-238.18297629955882</v>
      </c>
    </row>
    <row r="61" spans="1:14" ht="12.75">
      <c r="A61" t="s">
        <v>43</v>
      </c>
      <c r="B61">
        <f>1/POWER(1.2,0.5)</f>
        <v>0.9128709291752769</v>
      </c>
      <c r="C61">
        <f>1/POWER(1.2,1.5)</f>
        <v>0.7607257743127307</v>
      </c>
      <c r="D61">
        <f>1/POWER(1.2,2.5)</f>
        <v>0.633938145260609</v>
      </c>
      <c r="E61">
        <f>1/POWER(1.2,3.5)</f>
        <v>0.5282817877171742</v>
      </c>
      <c r="F61">
        <f>1/POWER(1.2,4.5)</f>
        <v>0.44023482309764517</v>
      </c>
      <c r="G61">
        <f>1/POWER(1.2,5.5)</f>
        <v>0.36686235258137107</v>
      </c>
      <c r="H61">
        <f>1/POWER(1.2,6.5)</f>
        <v>0.3057186271511425</v>
      </c>
      <c r="I61">
        <f>1/POWER(1.2,7.5)</f>
        <v>0.25476552262595203</v>
      </c>
      <c r="J61">
        <f>1/POWER(1.2,8.5)</f>
        <v>0.21230460218829345</v>
      </c>
      <c r="K61">
        <f>1/POWER(1.2,9.5)</f>
        <v>0.17692050182357785</v>
      </c>
      <c r="L61">
        <f>1/POWER(1.2,10.5)</f>
        <v>0.14743375151964822</v>
      </c>
      <c r="M61">
        <f>1/POWER(1.2,11.5)</f>
        <v>0.12286145959970685</v>
      </c>
      <c r="N61">
        <f>1/POWER(1.2,12.5)</f>
        <v>0.1023845496664224</v>
      </c>
    </row>
    <row r="62" spans="1:14" ht="12.75">
      <c r="A62" t="s">
        <v>44</v>
      </c>
      <c r="B62">
        <f aca="true" t="shared" si="31" ref="B62:N62">B58*B61</f>
        <v>-127.36740352225134</v>
      </c>
      <c r="C62">
        <f t="shared" si="31"/>
        <v>-129.0155006977844</v>
      </c>
      <c r="D62">
        <f t="shared" si="31"/>
        <v>-72.14735077939235</v>
      </c>
      <c r="E62">
        <f t="shared" si="31"/>
        <v>-5.96270546517746</v>
      </c>
      <c r="F62">
        <f t="shared" si="31"/>
        <v>-4.300317036742295</v>
      </c>
      <c r="G62">
        <f t="shared" si="31"/>
        <v>-2.999333290805476</v>
      </c>
      <c r="H62">
        <f t="shared" si="31"/>
        <v>9.478183110331308</v>
      </c>
      <c r="I62">
        <f t="shared" si="31"/>
        <v>7.9826561059705865</v>
      </c>
      <c r="J62">
        <f t="shared" si="31"/>
        <v>6.719485800909332</v>
      </c>
      <c r="K62">
        <f t="shared" si="31"/>
        <v>5.6525484994306705</v>
      </c>
      <c r="L62">
        <f t="shared" si="31"/>
        <v>4.7514652040538525</v>
      </c>
      <c r="M62">
        <f t="shared" si="31"/>
        <v>3.9906521619510453</v>
      </c>
      <c r="N62">
        <f t="shared" si="31"/>
        <v>2.388678493114745</v>
      </c>
    </row>
    <row r="63" spans="1:14" ht="12.75">
      <c r="A63" t="s">
        <v>45</v>
      </c>
      <c r="B63">
        <f aca="true" t="shared" si="32" ref="B63:N63">B59*B61</f>
        <v>-127.36740352225134</v>
      </c>
      <c r="C63">
        <f t="shared" si="32"/>
        <v>-235.1550036329938</v>
      </c>
      <c r="D63">
        <f t="shared" si="32"/>
        <v>-268.1098538068872</v>
      </c>
      <c r="E63">
        <f t="shared" si="32"/>
        <v>-229.38758363758345</v>
      </c>
      <c r="F63">
        <f t="shared" si="32"/>
        <v>-195.45663673472853</v>
      </c>
      <c r="G63">
        <f t="shared" si="32"/>
        <v>-165.87986390307927</v>
      </c>
      <c r="H63">
        <f t="shared" si="32"/>
        <v>-128.75503680890142</v>
      </c>
      <c r="I63">
        <f t="shared" si="32"/>
        <v>-99.31320790144723</v>
      </c>
      <c r="J63">
        <f t="shared" si="32"/>
        <v>-76.04152078363006</v>
      </c>
      <c r="K63">
        <f t="shared" si="32"/>
        <v>-57.71538548692771</v>
      </c>
      <c r="L63">
        <f t="shared" si="32"/>
        <v>-43.34468936838591</v>
      </c>
      <c r="M63">
        <f t="shared" si="32"/>
        <v>-32.12992231170387</v>
      </c>
      <c r="N63">
        <f t="shared" si="32"/>
        <v>-24.38625676663849</v>
      </c>
    </row>
    <row r="64" spans="1:4" ht="12.75">
      <c r="A64" t="s">
        <v>46</v>
      </c>
      <c r="B64">
        <f>B9*B61</f>
        <v>100.41580220928046</v>
      </c>
      <c r="C64">
        <f>C9*C61</f>
        <v>83.67983517440038</v>
      </c>
      <c r="D64">
        <f>D9*D61</f>
        <v>34.86659798933349</v>
      </c>
    </row>
    <row r="65" spans="1:4" ht="12.75">
      <c r="A65" t="s">
        <v>47</v>
      </c>
      <c r="B65">
        <f>B64</f>
        <v>100.41580220928046</v>
      </c>
      <c r="C65">
        <f>B65+C64</f>
        <v>184.09563738368084</v>
      </c>
      <c r="D65">
        <f>C65+D64</f>
        <v>218.96223537301432</v>
      </c>
    </row>
    <row r="66" spans="1:14" ht="12.75">
      <c r="A66" t="s">
        <v>48</v>
      </c>
      <c r="N66">
        <f>N63</f>
        <v>-24.38625676663849</v>
      </c>
    </row>
    <row r="67" spans="1:14" ht="12.75">
      <c r="A67" t="s">
        <v>49</v>
      </c>
      <c r="N67">
        <f>N66/D65</f>
        <v>-0.11137197574319219</v>
      </c>
    </row>
    <row r="68" spans="1:14" ht="12.75">
      <c r="A68" t="s">
        <v>50</v>
      </c>
      <c r="N68">
        <v>6.129</v>
      </c>
    </row>
    <row r="70" spans="1:14" ht="12.75">
      <c r="A70" t="s">
        <v>43</v>
      </c>
      <c r="B70">
        <f>1/POWER(1.15,0.5)</f>
        <v>0.9325048082403138</v>
      </c>
      <c r="C70">
        <f>1/POWER(1.15,1.5)</f>
        <v>0.8108737462959251</v>
      </c>
      <c r="D70">
        <f>1/POWER(1.15,2.5)</f>
        <v>0.7051076054747175</v>
      </c>
      <c r="E70">
        <f>1/POWER(1.15,3.5)</f>
        <v>0.6131370482388848</v>
      </c>
      <c r="F70">
        <f>1/POWER(1.15,4.5)</f>
        <v>0.5331626506425087</v>
      </c>
      <c r="G70">
        <f>1/POWER(1.15,5.5)</f>
        <v>0.4636196962108771</v>
      </c>
      <c r="H70">
        <f>1/POWER(1.15,6.5)</f>
        <v>0.40314756192250184</v>
      </c>
      <c r="I70">
        <f>1/POWER(1.15,7.5)</f>
        <v>0.35056309732391466</v>
      </c>
      <c r="J70">
        <f>1/POWER(1.15,8.5)</f>
        <v>0.30483747593383886</v>
      </c>
      <c r="K70">
        <f>1/POWER(1.15,9.5)</f>
        <v>0.26507606602942513</v>
      </c>
      <c r="L70">
        <f>1/POWER(1.15,10.5)</f>
        <v>0.23050092698210878</v>
      </c>
      <c r="M70">
        <f>1/POWER(1.15,11.5)</f>
        <v>0.20043558868009465</v>
      </c>
      <c r="N70">
        <f>1/POWER(1.15,12.5)</f>
        <v>0.17429181624356058</v>
      </c>
    </row>
    <row r="71" spans="1:14" ht="12.75">
      <c r="A71" t="s">
        <v>44</v>
      </c>
      <c r="B71">
        <f aca="true" t="shared" si="33" ref="B71:N71">B58*B70</f>
        <v>-130.10680086492155</v>
      </c>
      <c r="C71">
        <f t="shared" si="33"/>
        <v>-137.52036004770642</v>
      </c>
      <c r="D71">
        <f t="shared" si="33"/>
        <v>-80.24701799335445</v>
      </c>
      <c r="E71">
        <f t="shared" si="33"/>
        <v>-6.920465012119745</v>
      </c>
      <c r="F71">
        <f t="shared" si="33"/>
        <v>-5.208057858258338</v>
      </c>
      <c r="G71">
        <f t="shared" si="33"/>
        <v>-3.7903861743621605</v>
      </c>
      <c r="H71">
        <f t="shared" si="33"/>
        <v>12.498768714200745</v>
      </c>
      <c r="I71">
        <f t="shared" si="33"/>
        <v>10.984314598523477</v>
      </c>
      <c r="J71">
        <f t="shared" si="33"/>
        <v>9.648170929925406</v>
      </c>
      <c r="K71">
        <f t="shared" si="33"/>
        <v>8.469088114862727</v>
      </c>
      <c r="L71">
        <f t="shared" si="33"/>
        <v>7.4285373787812095</v>
      </c>
      <c r="M71">
        <f t="shared" si="33"/>
        <v>6.510330561790418</v>
      </c>
      <c r="N71">
        <f t="shared" si="33"/>
        <v>4.066307996112007</v>
      </c>
    </row>
    <row r="72" spans="1:14" ht="12.75">
      <c r="A72" t="s">
        <v>45</v>
      </c>
      <c r="B72">
        <f aca="true" t="shared" si="34" ref="B72:N72">B59*B70</f>
        <v>-130.10680086492155</v>
      </c>
      <c r="C72">
        <f t="shared" si="34"/>
        <v>-250.65670862589906</v>
      </c>
      <c r="D72">
        <f t="shared" si="34"/>
        <v>-298.20937332022316</v>
      </c>
      <c r="E72">
        <f t="shared" si="34"/>
        <v>-266.23296355144424</v>
      </c>
      <c r="F72">
        <f t="shared" si="34"/>
        <v>-236.71498268560123</v>
      </c>
      <c r="G72">
        <f t="shared" si="34"/>
        <v>-209.62950155314581</v>
      </c>
      <c r="H72">
        <f t="shared" si="34"/>
        <v>-169.7877543754913</v>
      </c>
      <c r="I72">
        <f t="shared" si="34"/>
        <v>-136.657210945382</v>
      </c>
      <c r="J72">
        <f t="shared" si="34"/>
        <v>-109.18418641388503</v>
      </c>
      <c r="K72">
        <f t="shared" si="34"/>
        <v>-86.47368267981992</v>
      </c>
      <c r="L72">
        <f t="shared" si="34"/>
        <v>-67.76596929932306</v>
      </c>
      <c r="M72">
        <f t="shared" si="34"/>
        <v>-52.41659926370791</v>
      </c>
      <c r="N72">
        <f t="shared" si="34"/>
        <v>-41.51334353754705</v>
      </c>
    </row>
    <row r="73" spans="1:4" ht="12.75">
      <c r="A73" t="s">
        <v>46</v>
      </c>
      <c r="B73">
        <f>B9*B70</f>
        <v>102.57552890643451</v>
      </c>
      <c r="C73">
        <f>C9*C70</f>
        <v>89.19611209255176</v>
      </c>
      <c r="D73">
        <f>D9*D70</f>
        <v>38.780918301109466</v>
      </c>
    </row>
    <row r="74" spans="1:4" ht="12.75">
      <c r="A74" t="s">
        <v>47</v>
      </c>
      <c r="B74">
        <f>B73</f>
        <v>102.57552890643451</v>
      </c>
      <c r="C74">
        <f>B74+C73</f>
        <v>191.77164099898627</v>
      </c>
      <c r="D74">
        <f>C74+D73</f>
        <v>230.55255930009574</v>
      </c>
    </row>
    <row r="75" spans="1:14" ht="12.75">
      <c r="A75" t="s">
        <v>48</v>
      </c>
      <c r="N75">
        <f>N72</f>
        <v>-41.51334353754705</v>
      </c>
    </row>
    <row r="76" spans="1:14" ht="12.75">
      <c r="A76" t="s">
        <v>49</v>
      </c>
      <c r="N76">
        <f>N75/D74</f>
        <v>-0.18006021561231836</v>
      </c>
    </row>
    <row r="77" ht="12.75">
      <c r="A77" t="s">
        <v>50</v>
      </c>
    </row>
    <row r="79" spans="1:14" ht="12.75">
      <c r="A79" t="s">
        <v>43</v>
      </c>
      <c r="B79">
        <f>1/POWER(1.25,0.5)</f>
        <v>0.8944271909999159</v>
      </c>
      <c r="C79">
        <f>1/POWER(1.25,1.5)</f>
        <v>0.7155417527999327</v>
      </c>
      <c r="D79">
        <f>1/POWER(1.25,2.5)</f>
        <v>0.5724334022399462</v>
      </c>
      <c r="E79">
        <f>1/POWER(1.25,3.5)</f>
        <v>0.4579467217919569</v>
      </c>
      <c r="F79">
        <f>1/POWER(1.25,4.5)</f>
        <v>0.36635737743356556</v>
      </c>
      <c r="G79">
        <f>1/POWER(1.25,5.5)</f>
        <v>0.29308590194685247</v>
      </c>
      <c r="H79">
        <f>1/POWER(1.25,6.5)</f>
        <v>0.2344687215574819</v>
      </c>
      <c r="I79">
        <f>1/POWER(1.25,7.5)</f>
        <v>0.18757497724598554</v>
      </c>
      <c r="J79">
        <f>1/POWER(1.25,8.5)</f>
        <v>0.15005998179678842</v>
      </c>
      <c r="K79">
        <f>1/POWER(1.25,9.5)</f>
        <v>0.12004798543743075</v>
      </c>
      <c r="L79">
        <f>1/POWER(1.25,10.5)</f>
        <v>0.09603838834994462</v>
      </c>
      <c r="M79">
        <f>1/POWER(1.25,11.5)</f>
        <v>0.0768307106799557</v>
      </c>
      <c r="N79">
        <f>1/POWER(1.25,12.5)</f>
        <v>0.06146456854396452</v>
      </c>
    </row>
    <row r="80" spans="1:14" ht="12.75">
      <c r="A80" t="s">
        <v>44</v>
      </c>
      <c r="B80">
        <f aca="true" t="shared" si="35" ref="B80:N80">B58*B79</f>
        <v>-124.79405939707226</v>
      </c>
      <c r="C80">
        <f t="shared" si="35"/>
        <v>-121.35250391779539</v>
      </c>
      <c r="D80">
        <f t="shared" si="35"/>
        <v>-65.14760750399134</v>
      </c>
      <c r="E80">
        <f t="shared" si="35"/>
        <v>-5.168835050302516</v>
      </c>
      <c r="F80">
        <f t="shared" si="35"/>
        <v>-3.5786648149011824</v>
      </c>
      <c r="G80">
        <f t="shared" si="35"/>
        <v>-2.3961638379887065</v>
      </c>
      <c r="H80">
        <f t="shared" si="35"/>
        <v>7.269224964393192</v>
      </c>
      <c r="I80">
        <f t="shared" si="35"/>
        <v>5.877351542729632</v>
      </c>
      <c r="J80">
        <f t="shared" si="35"/>
        <v>4.7494303306432615</v>
      </c>
      <c r="K80">
        <f t="shared" si="35"/>
        <v>3.8354913814380307</v>
      </c>
      <c r="L80">
        <f t="shared" si="35"/>
        <v>3.0951058071486393</v>
      </c>
      <c r="M80">
        <f t="shared" si="35"/>
        <v>2.495531492773606</v>
      </c>
      <c r="N80">
        <f t="shared" si="35"/>
        <v>1.4339965692860328</v>
      </c>
    </row>
    <row r="81" spans="1:14" ht="12.75">
      <c r="A81" t="s">
        <v>45</v>
      </c>
      <c r="B81">
        <f aca="true" t="shared" si="36" ref="B81:N81">B59*B79</f>
        <v>-124.79405939707226</v>
      </c>
      <c r="C81">
        <f t="shared" si="36"/>
        <v>-221.18775143545318</v>
      </c>
      <c r="D81">
        <f t="shared" si="36"/>
        <v>-242.0978086523539</v>
      </c>
      <c r="E81">
        <f t="shared" si="36"/>
        <v>-198.84708197218558</v>
      </c>
      <c r="F81">
        <f t="shared" si="36"/>
        <v>-162.65633039264966</v>
      </c>
      <c r="G81">
        <f t="shared" si="36"/>
        <v>-132.52122815210845</v>
      </c>
      <c r="H81">
        <f t="shared" si="36"/>
        <v>-98.74775755729354</v>
      </c>
      <c r="I81">
        <f t="shared" si="36"/>
        <v>-73.1208545031052</v>
      </c>
      <c r="J81">
        <f t="shared" si="36"/>
        <v>-53.7472532718409</v>
      </c>
      <c r="K81">
        <f t="shared" si="36"/>
        <v>-39.1623112360347</v>
      </c>
      <c r="L81">
        <f t="shared" si="36"/>
        <v>-28.23474318167912</v>
      </c>
      <c r="M81">
        <f t="shared" si="36"/>
        <v>-20.09226305256969</v>
      </c>
      <c r="N81">
        <f t="shared" si="36"/>
        <v>-14.639813872769711</v>
      </c>
    </row>
    <row r="82" spans="1:4" ht="12.75">
      <c r="A82" t="s">
        <v>46</v>
      </c>
      <c r="B82">
        <f>B9*B79</f>
        <v>98.38699100999074</v>
      </c>
      <c r="C82">
        <f>C9*C79</f>
        <v>78.70959280799259</v>
      </c>
      <c r="D82">
        <f>D9*D79</f>
        <v>31.48383712319704</v>
      </c>
    </row>
    <row r="83" spans="1:4" ht="12.75">
      <c r="A83" t="s">
        <v>47</v>
      </c>
      <c r="B83">
        <f>B82</f>
        <v>98.38699100999074</v>
      </c>
      <c r="C83">
        <f>B83+C82</f>
        <v>177.09658381798334</v>
      </c>
      <c r="D83">
        <f>C83+D82</f>
        <v>208.5804209411804</v>
      </c>
    </row>
    <row r="84" spans="1:14" ht="12.75">
      <c r="A84" t="s">
        <v>48</v>
      </c>
      <c r="N84">
        <f>N81</f>
        <v>-14.639813872769711</v>
      </c>
    </row>
    <row r="85" spans="1:14" ht="12.75">
      <c r="A85" t="s">
        <v>49</v>
      </c>
      <c r="N85">
        <f>N84/D83</f>
        <v>-0.07018786234446298</v>
      </c>
    </row>
    <row r="86" ht="12.75">
      <c r="A86" t="s">
        <v>50</v>
      </c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92"/>
  <sheetViews>
    <sheetView zoomScalePageLayoutView="0" workbookViewId="0" topLeftCell="A73">
      <selection activeCell="B88" sqref="B88:J92"/>
    </sheetView>
  </sheetViews>
  <sheetFormatPr defaultColWidth="9.00390625" defaultRowHeight="12.75"/>
  <sheetData>
    <row r="2" ht="12.75">
      <c r="A2" t="s">
        <v>1</v>
      </c>
    </row>
    <row r="4" spans="1:14" ht="12.7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</row>
    <row r="5" ht="12.75">
      <c r="A5" t="s">
        <v>16</v>
      </c>
    </row>
    <row r="6" spans="1:14" ht="12.75">
      <c r="A6" t="s">
        <v>17</v>
      </c>
      <c r="B6">
        <v>0</v>
      </c>
      <c r="C6">
        <v>0</v>
      </c>
      <c r="D6">
        <v>220</v>
      </c>
      <c r="E6">
        <v>330</v>
      </c>
      <c r="F6">
        <f aca="true" t="shared" si="0" ref="F6:N6">E6</f>
        <v>330</v>
      </c>
      <c r="G6">
        <f t="shared" si="0"/>
        <v>330</v>
      </c>
      <c r="H6">
        <f t="shared" si="0"/>
        <v>330</v>
      </c>
      <c r="I6">
        <f t="shared" si="0"/>
        <v>330</v>
      </c>
      <c r="J6">
        <f t="shared" si="0"/>
        <v>330</v>
      </c>
      <c r="K6">
        <f t="shared" si="0"/>
        <v>330</v>
      </c>
      <c r="L6">
        <f t="shared" si="0"/>
        <v>330</v>
      </c>
      <c r="M6">
        <f t="shared" si="0"/>
        <v>330</v>
      </c>
      <c r="N6">
        <f t="shared" si="0"/>
        <v>330</v>
      </c>
    </row>
    <row r="7" spans="1:14" ht="12.75">
      <c r="A7" t="s">
        <v>18</v>
      </c>
      <c r="B7">
        <v>0</v>
      </c>
      <c r="C7">
        <v>0</v>
      </c>
      <c r="D7">
        <v>77</v>
      </c>
      <c r="E7">
        <v>110</v>
      </c>
      <c r="F7">
        <f aca="true" t="shared" si="1" ref="F7:N7">E7</f>
        <v>110</v>
      </c>
      <c r="G7">
        <f t="shared" si="1"/>
        <v>110</v>
      </c>
      <c r="H7">
        <f t="shared" si="1"/>
        <v>110</v>
      </c>
      <c r="I7">
        <f t="shared" si="1"/>
        <v>110</v>
      </c>
      <c r="J7">
        <f t="shared" si="1"/>
        <v>110</v>
      </c>
      <c r="K7">
        <f t="shared" si="1"/>
        <v>110</v>
      </c>
      <c r="L7">
        <f t="shared" si="1"/>
        <v>110</v>
      </c>
      <c r="M7">
        <f t="shared" si="1"/>
        <v>110</v>
      </c>
      <c r="N7">
        <f t="shared" si="1"/>
        <v>110</v>
      </c>
    </row>
    <row r="8" spans="1:14" ht="12.75">
      <c r="A8" t="s">
        <v>19</v>
      </c>
      <c r="B8">
        <v>0</v>
      </c>
      <c r="C8">
        <v>0</v>
      </c>
      <c r="D8">
        <v>110</v>
      </c>
      <c r="E8">
        <v>165</v>
      </c>
      <c r="F8">
        <f aca="true" t="shared" si="2" ref="F8:N8">E8</f>
        <v>165</v>
      </c>
      <c r="G8">
        <f t="shared" si="2"/>
        <v>165</v>
      </c>
      <c r="H8">
        <f t="shared" si="2"/>
        <v>165</v>
      </c>
      <c r="I8">
        <f t="shared" si="2"/>
        <v>165</v>
      </c>
      <c r="J8">
        <f t="shared" si="2"/>
        <v>165</v>
      </c>
      <c r="K8">
        <f t="shared" si="2"/>
        <v>165</v>
      </c>
      <c r="L8">
        <f t="shared" si="2"/>
        <v>165</v>
      </c>
      <c r="M8">
        <f t="shared" si="2"/>
        <v>165</v>
      </c>
      <c r="N8">
        <f t="shared" si="2"/>
        <v>165</v>
      </c>
    </row>
    <row r="9" spans="1:4" ht="12.75">
      <c r="A9" t="s">
        <v>20</v>
      </c>
      <c r="B9">
        <v>90</v>
      </c>
      <c r="C9">
        <v>90</v>
      </c>
      <c r="D9">
        <v>45</v>
      </c>
    </row>
    <row r="10" spans="1:8" ht="12.75">
      <c r="A10" t="s">
        <v>21</v>
      </c>
      <c r="B10">
        <f>B9</f>
        <v>90</v>
      </c>
      <c r="C10">
        <f>B10+C9</f>
        <v>180</v>
      </c>
      <c r="D10">
        <f>C10+D9</f>
        <v>225</v>
      </c>
      <c r="E10">
        <f>D10-E48+E49</f>
        <v>143.32015999999996</v>
      </c>
      <c r="F10">
        <f>E10-F48+F49</f>
        <v>55.922731199999895</v>
      </c>
      <c r="G10">
        <f>F10-G48+G49</f>
        <v>-37.155530472000194</v>
      </c>
      <c r="H10">
        <v>0</v>
      </c>
    </row>
    <row r="11" spans="1:14" ht="12.75">
      <c r="A11" t="s">
        <v>22</v>
      </c>
      <c r="F11">
        <v>1.07</v>
      </c>
      <c r="G11">
        <f aca="true" t="shared" si="3" ref="G11:N11">F11-0.005</f>
        <v>1.0650000000000002</v>
      </c>
      <c r="H11">
        <f t="shared" si="3"/>
        <v>1.0600000000000003</v>
      </c>
      <c r="I11">
        <f t="shared" si="3"/>
        <v>1.0550000000000004</v>
      </c>
      <c r="J11">
        <f t="shared" si="3"/>
        <v>1.0500000000000005</v>
      </c>
      <c r="K11">
        <f t="shared" si="3"/>
        <v>1.0450000000000006</v>
      </c>
      <c r="L11">
        <f t="shared" si="3"/>
        <v>1.0400000000000007</v>
      </c>
      <c r="M11">
        <f t="shared" si="3"/>
        <v>1.0350000000000008</v>
      </c>
      <c r="N11">
        <f t="shared" si="3"/>
        <v>1.030000000000001</v>
      </c>
    </row>
    <row r="12" ht="12.75">
      <c r="A12" t="s">
        <v>23</v>
      </c>
    </row>
    <row r="13" spans="1:14" ht="12.75">
      <c r="A13" t="s">
        <v>17</v>
      </c>
      <c r="D13">
        <f>E13*D6/E6</f>
        <v>23.569333333333336</v>
      </c>
      <c r="E13">
        <f>1.1*32.14</f>
        <v>35.354000000000006</v>
      </c>
      <c r="F13">
        <f>E13*$F$11</f>
        <v>37.82878000000001</v>
      </c>
      <c r="G13">
        <f>F13*$G$11</f>
        <v>40.287650700000015</v>
      </c>
      <c r="H13">
        <f>G13*$H$11</f>
        <v>42.70490974200003</v>
      </c>
      <c r="I13">
        <f>H13*$I$11</f>
        <v>45.053679777810046</v>
      </c>
      <c r="J13">
        <f>I13*$J$11</f>
        <v>47.30636376670057</v>
      </c>
      <c r="K13">
        <f>J13*$K$11</f>
        <v>49.435150136202125</v>
      </c>
      <c r="L13">
        <f>K13*$L$11</f>
        <v>51.41255614165024</v>
      </c>
      <c r="M13">
        <f>L13*$M$11</f>
        <v>53.21199560660804</v>
      </c>
      <c r="N13">
        <f>M13*$N$11</f>
        <v>54.80835547480633</v>
      </c>
    </row>
    <row r="14" spans="1:14" ht="12.75">
      <c r="A14" t="s">
        <v>18</v>
      </c>
      <c r="D14">
        <f>E14*D7/E7</f>
        <v>14.8533</v>
      </c>
      <c r="E14">
        <f>1.1*19.29</f>
        <v>21.219</v>
      </c>
      <c r="F14">
        <f>E14*$F$11</f>
        <v>22.704330000000002</v>
      </c>
      <c r="G14">
        <f>F14*$G$11</f>
        <v>24.180111450000005</v>
      </c>
      <c r="H14">
        <f>G14*$H$11</f>
        <v>25.630918137000013</v>
      </c>
      <c r="I14">
        <f>H14*$I$11</f>
        <v>27.040618634535022</v>
      </c>
      <c r="J14">
        <f>I14*$J$11</f>
        <v>28.392649566261788</v>
      </c>
      <c r="K14">
        <f>J14*$K$11</f>
        <v>29.670318796743587</v>
      </c>
      <c r="L14">
        <f>K14*$L$11</f>
        <v>30.85713154861335</v>
      </c>
      <c r="M14">
        <f>L14*$M$11</f>
        <v>31.937131152814842</v>
      </c>
      <c r="N14">
        <f>M14*$N$11</f>
        <v>32.89524508739932</v>
      </c>
    </row>
    <row r="15" spans="1:14" ht="12.75">
      <c r="A15" t="s">
        <v>19</v>
      </c>
      <c r="D15">
        <f>E15*D8/E8</f>
        <v>20.438000000000002</v>
      </c>
      <c r="E15">
        <f>1.1*27.87</f>
        <v>30.657000000000004</v>
      </c>
      <c r="F15">
        <f>E15*$F$11</f>
        <v>32.80299000000001</v>
      </c>
      <c r="G15">
        <f>F15*$G$11</f>
        <v>34.935184350000014</v>
      </c>
      <c r="H15">
        <f>G15*$H$11</f>
        <v>37.03129541100002</v>
      </c>
      <c r="I15">
        <f>H15*$I$11</f>
        <v>39.06801665860504</v>
      </c>
      <c r="J15">
        <f>I15*$J$11</f>
        <v>41.02141749153531</v>
      </c>
      <c r="K15">
        <f>J15*$K$11</f>
        <v>42.86738127865442</v>
      </c>
      <c r="L15">
        <f>K15*$L$11</f>
        <v>44.58207652980063</v>
      </c>
      <c r="M15">
        <f>L15*$M$11</f>
        <v>46.14244920834369</v>
      </c>
      <c r="N15">
        <f>M15*$N$11</f>
        <v>47.52672268459404</v>
      </c>
    </row>
    <row r="16" ht="12.75">
      <c r="A16" t="s">
        <v>24</v>
      </c>
    </row>
    <row r="17" spans="1:14" ht="12.75">
      <c r="A17" t="s">
        <v>17</v>
      </c>
      <c r="D17">
        <f>E17*D6/E6</f>
        <v>55</v>
      </c>
      <c r="E17">
        <f>75*1.1</f>
        <v>82.5</v>
      </c>
      <c r="F17">
        <f>E17*$F$11</f>
        <v>88.275</v>
      </c>
      <c r="G17">
        <f>F17*$G$11</f>
        <v>94.01287500000002</v>
      </c>
      <c r="H17">
        <f>G17*$H$11</f>
        <v>99.65364750000005</v>
      </c>
      <c r="I17">
        <f>H17*$I$11</f>
        <v>105.13459811250009</v>
      </c>
      <c r="J17">
        <f>I17*$J$11</f>
        <v>110.39132801812514</v>
      </c>
      <c r="K17">
        <f>J17*$K$11</f>
        <v>115.35893777894083</v>
      </c>
      <c r="L17">
        <f>K17*$L$11</f>
        <v>119.97329529009855</v>
      </c>
      <c r="M17">
        <f>L17*$M$11</f>
        <v>124.1723606252521</v>
      </c>
      <c r="N17">
        <f>M17*$N$11</f>
        <v>127.89753144400977</v>
      </c>
    </row>
    <row r="18" spans="1:14" ht="12.75">
      <c r="A18" t="s">
        <v>18</v>
      </c>
      <c r="D18">
        <f>E18*D7/E7</f>
        <v>34.650000000000006</v>
      </c>
      <c r="E18">
        <f>45*1.1</f>
        <v>49.50000000000001</v>
      </c>
      <c r="F18">
        <f>E18*$F$11</f>
        <v>52.96500000000001</v>
      </c>
      <c r="G18">
        <f>F18*$G$11</f>
        <v>56.40772500000002</v>
      </c>
      <c r="H18">
        <f>G18*$H$11</f>
        <v>59.79218850000004</v>
      </c>
      <c r="I18">
        <f>H18*$I$11</f>
        <v>63.08075886750006</v>
      </c>
      <c r="J18">
        <f>I18*$J$11</f>
        <v>66.2347968108751</v>
      </c>
      <c r="K18">
        <f>J18*$K$11</f>
        <v>69.21536266736452</v>
      </c>
      <c r="L18">
        <f>K18*$L$11</f>
        <v>71.98397717405915</v>
      </c>
      <c r="M18">
        <f>L18*$M$11</f>
        <v>74.50341637515128</v>
      </c>
      <c r="N18">
        <f>M18*$N$11</f>
        <v>76.73851886640588</v>
      </c>
    </row>
    <row r="19" spans="1:14" ht="12.75">
      <c r="A19" t="s">
        <v>19</v>
      </c>
      <c r="D19">
        <f>E19*D8/E8</f>
        <v>47.666666666666664</v>
      </c>
      <c r="E19">
        <f>65*1.1</f>
        <v>71.5</v>
      </c>
      <c r="F19">
        <f>E19*$F$11</f>
        <v>76.50500000000001</v>
      </c>
      <c r="G19">
        <f>F19*$G$11</f>
        <v>81.47782500000002</v>
      </c>
      <c r="H19">
        <f>G19*$H$11</f>
        <v>86.36649450000004</v>
      </c>
      <c r="I19">
        <f>H19*$I$11</f>
        <v>91.11665169750007</v>
      </c>
      <c r="J19">
        <f>I19*$J$11</f>
        <v>95.67248428237512</v>
      </c>
      <c r="K19">
        <f>J19*$K$11</f>
        <v>99.97774607508207</v>
      </c>
      <c r="L19">
        <f>K19*$L$11</f>
        <v>103.97685591808542</v>
      </c>
      <c r="M19">
        <f>L19*$M$11</f>
        <v>107.61604587521849</v>
      </c>
      <c r="N19">
        <f>M19*$N$11</f>
        <v>110.84452725147514</v>
      </c>
    </row>
    <row r="20" ht="12.75">
      <c r="A20" t="s">
        <v>25</v>
      </c>
    </row>
    <row r="21" spans="1:14" ht="12.75">
      <c r="A21" t="s">
        <v>17</v>
      </c>
      <c r="D21">
        <f aca="true" t="shared" si="4" ref="D21:N21">D17*1000/D6</f>
        <v>250</v>
      </c>
      <c r="E21">
        <f t="shared" si="4"/>
        <v>250</v>
      </c>
      <c r="F21">
        <f t="shared" si="4"/>
        <v>267.5</v>
      </c>
      <c r="G21">
        <f t="shared" si="4"/>
        <v>284.8875000000001</v>
      </c>
      <c r="H21">
        <f t="shared" si="4"/>
        <v>301.98075000000017</v>
      </c>
      <c r="I21">
        <f t="shared" si="4"/>
        <v>318.58969125000027</v>
      </c>
      <c r="J21">
        <f t="shared" si="4"/>
        <v>334.5191758125004</v>
      </c>
      <c r="K21">
        <f t="shared" si="4"/>
        <v>349.5725387240631</v>
      </c>
      <c r="L21">
        <f t="shared" si="4"/>
        <v>363.5554402730259</v>
      </c>
      <c r="M21">
        <f t="shared" si="4"/>
        <v>376.27988068258213</v>
      </c>
      <c r="N21">
        <f t="shared" si="4"/>
        <v>387.5682771030599</v>
      </c>
    </row>
    <row r="22" spans="1:14" ht="12.75">
      <c r="A22" t="s">
        <v>18</v>
      </c>
      <c r="D22">
        <f aca="true" t="shared" si="5" ref="D22:N22">D18*1000/D7</f>
        <v>450.0000000000001</v>
      </c>
      <c r="E22">
        <f t="shared" si="5"/>
        <v>450.00000000000006</v>
      </c>
      <c r="F22">
        <f t="shared" si="5"/>
        <v>481.50000000000006</v>
      </c>
      <c r="G22">
        <f t="shared" si="5"/>
        <v>512.7975000000002</v>
      </c>
      <c r="H22">
        <f t="shared" si="5"/>
        <v>543.5653500000004</v>
      </c>
      <c r="I22">
        <f t="shared" si="5"/>
        <v>573.4614442500006</v>
      </c>
      <c r="J22">
        <f t="shared" si="5"/>
        <v>602.1345164625009</v>
      </c>
      <c r="K22">
        <f t="shared" si="5"/>
        <v>629.2305697033138</v>
      </c>
      <c r="L22">
        <f t="shared" si="5"/>
        <v>654.3997924914469</v>
      </c>
      <c r="M22">
        <f t="shared" si="5"/>
        <v>677.3037852286479</v>
      </c>
      <c r="N22">
        <f t="shared" si="5"/>
        <v>697.622898785508</v>
      </c>
    </row>
    <row r="23" spans="1:14" ht="12.75">
      <c r="A23" t="s">
        <v>19</v>
      </c>
      <c r="D23">
        <f aca="true" t="shared" si="6" ref="D23:N23">D19*1000/D8</f>
        <v>433.3333333333333</v>
      </c>
      <c r="E23">
        <f t="shared" si="6"/>
        <v>433.3333333333333</v>
      </c>
      <c r="F23">
        <f t="shared" si="6"/>
        <v>463.66666666666674</v>
      </c>
      <c r="G23">
        <f t="shared" si="6"/>
        <v>493.8050000000002</v>
      </c>
      <c r="H23">
        <f t="shared" si="6"/>
        <v>523.4333000000003</v>
      </c>
      <c r="I23">
        <f t="shared" si="6"/>
        <v>552.2221315000004</v>
      </c>
      <c r="J23">
        <f t="shared" si="6"/>
        <v>579.8332380750007</v>
      </c>
      <c r="K23">
        <f t="shared" si="6"/>
        <v>605.9257337883761</v>
      </c>
      <c r="L23">
        <f t="shared" si="6"/>
        <v>630.1627631399116</v>
      </c>
      <c r="M23">
        <f t="shared" si="6"/>
        <v>652.218459849809</v>
      </c>
      <c r="N23">
        <f t="shared" si="6"/>
        <v>671.7850136453039</v>
      </c>
    </row>
    <row r="24" ht="12.75">
      <c r="A24" t="s">
        <v>26</v>
      </c>
    </row>
    <row r="25" spans="1:14" ht="12.75">
      <c r="A25" t="s">
        <v>17</v>
      </c>
      <c r="D25">
        <f aca="true" t="shared" si="7" ref="D25:N25">D13+D17</f>
        <v>78.56933333333333</v>
      </c>
      <c r="E25">
        <f t="shared" si="7"/>
        <v>117.85400000000001</v>
      </c>
      <c r="F25">
        <f t="shared" si="7"/>
        <v>126.10378000000001</v>
      </c>
      <c r="G25">
        <f t="shared" si="7"/>
        <v>134.30052570000004</v>
      </c>
      <c r="H25">
        <f t="shared" si="7"/>
        <v>142.35855724200007</v>
      </c>
      <c r="I25">
        <f t="shared" si="7"/>
        <v>150.18827789031013</v>
      </c>
      <c r="J25">
        <f t="shared" si="7"/>
        <v>157.6976917848257</v>
      </c>
      <c r="K25">
        <f t="shared" si="7"/>
        <v>164.79408791514294</v>
      </c>
      <c r="L25">
        <f t="shared" si="7"/>
        <v>171.3858514317488</v>
      </c>
      <c r="M25">
        <f t="shared" si="7"/>
        <v>177.38435623186012</v>
      </c>
      <c r="N25">
        <f t="shared" si="7"/>
        <v>182.7058869188161</v>
      </c>
    </row>
    <row r="26" spans="1:14" ht="12.75">
      <c r="A26" t="s">
        <v>18</v>
      </c>
      <c r="D26">
        <f aca="true" t="shared" si="8" ref="D26:N26">D14+D18</f>
        <v>49.50330000000001</v>
      </c>
      <c r="E26">
        <f t="shared" si="8"/>
        <v>70.71900000000001</v>
      </c>
      <c r="F26">
        <f t="shared" si="8"/>
        <v>75.66933000000002</v>
      </c>
      <c r="G26">
        <f t="shared" si="8"/>
        <v>80.58783645000003</v>
      </c>
      <c r="H26">
        <f t="shared" si="8"/>
        <v>85.42310663700005</v>
      </c>
      <c r="I26">
        <f t="shared" si="8"/>
        <v>90.12137750203507</v>
      </c>
      <c r="J26">
        <f t="shared" si="8"/>
        <v>94.62744637713689</v>
      </c>
      <c r="K26">
        <f t="shared" si="8"/>
        <v>98.8856814641081</v>
      </c>
      <c r="L26">
        <f t="shared" si="8"/>
        <v>102.8411087226725</v>
      </c>
      <c r="M26">
        <f t="shared" si="8"/>
        <v>106.44054752796612</v>
      </c>
      <c r="N26">
        <f t="shared" si="8"/>
        <v>109.6337639538052</v>
      </c>
    </row>
    <row r="27" spans="1:15" ht="12.75">
      <c r="A27" t="s">
        <v>19</v>
      </c>
      <c r="D27">
        <f aca="true" t="shared" si="9" ref="D27:N27">D15+D19</f>
        <v>68.10466666666667</v>
      </c>
      <c r="E27">
        <f t="shared" si="9"/>
        <v>102.15700000000001</v>
      </c>
      <c r="F27">
        <f t="shared" si="9"/>
        <v>109.30799000000002</v>
      </c>
      <c r="G27">
        <f t="shared" si="9"/>
        <v>116.41300935000004</v>
      </c>
      <c r="H27">
        <f t="shared" si="9"/>
        <v>123.39778991100007</v>
      </c>
      <c r="I27">
        <f t="shared" si="9"/>
        <v>130.1846683561051</v>
      </c>
      <c r="J27">
        <f t="shared" si="9"/>
        <v>136.69390177391043</v>
      </c>
      <c r="K27">
        <f t="shared" si="9"/>
        <v>142.84512735373647</v>
      </c>
      <c r="L27">
        <f t="shared" si="9"/>
        <v>148.55893244788604</v>
      </c>
      <c r="M27">
        <f t="shared" si="9"/>
        <v>153.7584950835622</v>
      </c>
      <c r="N27">
        <f t="shared" si="9"/>
        <v>158.37124993606918</v>
      </c>
      <c r="O27">
        <f>SUM(D25:N27)</f>
        <v>3957.5876779616965</v>
      </c>
    </row>
    <row r="28" ht="12.75">
      <c r="A28" t="s">
        <v>27</v>
      </c>
    </row>
    <row r="29" spans="1:14" ht="12.75">
      <c r="A29" t="s">
        <v>17</v>
      </c>
      <c r="D29">
        <f aca="true" t="shared" si="10" ref="D29:N29">D25/(D25+D26+D27)*100</f>
        <v>40.05016550504739</v>
      </c>
      <c r="E29">
        <f t="shared" si="10"/>
        <v>40.53726825576996</v>
      </c>
      <c r="F29">
        <f t="shared" si="10"/>
        <v>40.53726825576996</v>
      </c>
      <c r="G29">
        <f t="shared" si="10"/>
        <v>40.53726825576996</v>
      </c>
      <c r="H29">
        <f t="shared" si="10"/>
        <v>40.53726825576996</v>
      </c>
      <c r="I29">
        <f t="shared" si="10"/>
        <v>40.53726825576996</v>
      </c>
      <c r="J29">
        <f t="shared" si="10"/>
        <v>40.53726825576996</v>
      </c>
      <c r="K29">
        <f t="shared" si="10"/>
        <v>40.53726825576995</v>
      </c>
      <c r="L29">
        <f t="shared" si="10"/>
        <v>40.53726825576995</v>
      </c>
      <c r="M29">
        <f t="shared" si="10"/>
        <v>40.537268255769945</v>
      </c>
      <c r="N29">
        <f t="shared" si="10"/>
        <v>40.53726825576996</v>
      </c>
    </row>
    <row r="30" spans="1:14" ht="12.75">
      <c r="A30" t="s">
        <v>18</v>
      </c>
      <c r="D30">
        <f aca="true" t="shared" si="11" ref="D30:N30">D26/(D26+D27+D25)*100</f>
        <v>25.233959280711893</v>
      </c>
      <c r="E30">
        <f t="shared" si="11"/>
        <v>24.32463110102157</v>
      </c>
      <c r="F30">
        <f t="shared" si="11"/>
        <v>24.32463110102157</v>
      </c>
      <c r="G30">
        <f t="shared" si="11"/>
        <v>24.32463110102157</v>
      </c>
      <c r="H30">
        <f t="shared" si="11"/>
        <v>24.324631101021566</v>
      </c>
      <c r="I30">
        <f t="shared" si="11"/>
        <v>24.324631101021566</v>
      </c>
      <c r="J30">
        <f t="shared" si="11"/>
        <v>24.32463110102157</v>
      </c>
      <c r="K30">
        <f t="shared" si="11"/>
        <v>24.32463110102157</v>
      </c>
      <c r="L30">
        <f t="shared" si="11"/>
        <v>24.32463110102157</v>
      </c>
      <c r="M30">
        <f t="shared" si="11"/>
        <v>24.32463110102157</v>
      </c>
      <c r="N30">
        <f t="shared" si="11"/>
        <v>24.32463110102157</v>
      </c>
    </row>
    <row r="31" spans="1:14" ht="12.75">
      <c r="A31" t="s">
        <v>19</v>
      </c>
      <c r="D31">
        <f aca="true" t="shared" si="12" ref="D31:N31">D27/(D25+D26+D27)*100</f>
        <v>34.715875214240725</v>
      </c>
      <c r="E31">
        <f t="shared" si="12"/>
        <v>35.138100643208475</v>
      </c>
      <c r="F31">
        <f t="shared" si="12"/>
        <v>35.138100643208475</v>
      </c>
      <c r="G31">
        <f t="shared" si="12"/>
        <v>35.13810064320848</v>
      </c>
      <c r="H31">
        <f t="shared" si="12"/>
        <v>35.138100643208475</v>
      </c>
      <c r="I31">
        <f t="shared" si="12"/>
        <v>35.138100643208475</v>
      </c>
      <c r="J31">
        <f t="shared" si="12"/>
        <v>35.138100643208475</v>
      </c>
      <c r="K31">
        <f t="shared" si="12"/>
        <v>35.13810064320847</v>
      </c>
      <c r="L31">
        <f t="shared" si="12"/>
        <v>35.13810064320847</v>
      </c>
      <c r="M31">
        <f t="shared" si="12"/>
        <v>35.138100643208475</v>
      </c>
      <c r="N31">
        <f t="shared" si="12"/>
        <v>35.138100643208475</v>
      </c>
    </row>
    <row r="32" ht="12.75">
      <c r="A32" t="s">
        <v>28</v>
      </c>
    </row>
    <row r="33" spans="1:14" ht="12.75">
      <c r="A33" t="s">
        <v>17</v>
      </c>
      <c r="D33">
        <f aca="true" t="shared" si="13" ref="D33:N33">D25/D6*1000</f>
        <v>357.1333333333334</v>
      </c>
      <c r="E33">
        <f t="shared" si="13"/>
        <v>357.1333333333334</v>
      </c>
      <c r="F33">
        <f t="shared" si="13"/>
        <v>382.13266666666675</v>
      </c>
      <c r="G33">
        <f t="shared" si="13"/>
        <v>406.9712900000001</v>
      </c>
      <c r="H33">
        <f t="shared" si="13"/>
        <v>431.3895674000002</v>
      </c>
      <c r="I33">
        <f t="shared" si="13"/>
        <v>455.1159936070004</v>
      </c>
      <c r="J33">
        <f t="shared" si="13"/>
        <v>477.8717932873506</v>
      </c>
      <c r="K33">
        <f t="shared" si="13"/>
        <v>499.3760239852816</v>
      </c>
      <c r="L33">
        <f t="shared" si="13"/>
        <v>519.3510649446933</v>
      </c>
      <c r="M33">
        <f t="shared" si="13"/>
        <v>537.528352217758</v>
      </c>
      <c r="N33">
        <f t="shared" si="13"/>
        <v>553.6542027842912</v>
      </c>
    </row>
    <row r="34" spans="1:14" ht="12.75">
      <c r="A34" t="s">
        <v>18</v>
      </c>
      <c r="D34">
        <f aca="true" t="shared" si="14" ref="D34:N34">D26/D7*1000</f>
        <v>642.9000000000001</v>
      </c>
      <c r="E34">
        <f t="shared" si="14"/>
        <v>642.9</v>
      </c>
      <c r="F34">
        <f t="shared" si="14"/>
        <v>687.9030000000001</v>
      </c>
      <c r="G34">
        <f t="shared" si="14"/>
        <v>732.6166950000003</v>
      </c>
      <c r="H34">
        <f t="shared" si="14"/>
        <v>776.5736967000005</v>
      </c>
      <c r="I34">
        <f t="shared" si="14"/>
        <v>819.2852500185007</v>
      </c>
      <c r="J34">
        <f t="shared" si="14"/>
        <v>860.2495125194263</v>
      </c>
      <c r="K34">
        <f t="shared" si="14"/>
        <v>898.960740582801</v>
      </c>
      <c r="L34">
        <f t="shared" si="14"/>
        <v>934.9191702061137</v>
      </c>
      <c r="M34">
        <f t="shared" si="14"/>
        <v>967.6413411633283</v>
      </c>
      <c r="N34">
        <f t="shared" si="14"/>
        <v>996.670581398229</v>
      </c>
    </row>
    <row r="35" spans="1:14" ht="12.75">
      <c r="A35" t="s">
        <v>19</v>
      </c>
      <c r="D35">
        <f aca="true" t="shared" si="15" ref="D35:N35">D27/D8*1000</f>
        <v>619.1333333333334</v>
      </c>
      <c r="E35">
        <f t="shared" si="15"/>
        <v>619.1333333333334</v>
      </c>
      <c r="F35">
        <f t="shared" si="15"/>
        <v>662.4726666666668</v>
      </c>
      <c r="G35">
        <f t="shared" si="15"/>
        <v>705.5333900000003</v>
      </c>
      <c r="H35">
        <f t="shared" si="15"/>
        <v>747.8653934000005</v>
      </c>
      <c r="I35">
        <f t="shared" si="15"/>
        <v>788.9979900370007</v>
      </c>
      <c r="J35">
        <f t="shared" si="15"/>
        <v>828.4478895388511</v>
      </c>
      <c r="K35">
        <f t="shared" si="15"/>
        <v>865.7280445680998</v>
      </c>
      <c r="L35">
        <f t="shared" si="15"/>
        <v>900.3571663508244</v>
      </c>
      <c r="M35">
        <f t="shared" si="15"/>
        <v>931.8696671731043</v>
      </c>
      <c r="N35">
        <f t="shared" si="15"/>
        <v>959.825757188298</v>
      </c>
    </row>
    <row r="36" ht="12.75">
      <c r="A36" t="s">
        <v>29</v>
      </c>
    </row>
    <row r="37" spans="1:14" ht="12.75">
      <c r="A37" t="s">
        <v>17</v>
      </c>
      <c r="D37">
        <v>25</v>
      </c>
      <c r="E37">
        <v>25</v>
      </c>
      <c r="F37">
        <v>25</v>
      </c>
      <c r="G37">
        <v>25</v>
      </c>
      <c r="H37">
        <v>25</v>
      </c>
      <c r="I37">
        <v>25</v>
      </c>
      <c r="J37">
        <v>25</v>
      </c>
      <c r="K37">
        <v>25</v>
      </c>
      <c r="L37">
        <v>25</v>
      </c>
      <c r="M37">
        <v>25</v>
      </c>
      <c r="N37">
        <v>25</v>
      </c>
    </row>
    <row r="38" spans="1:14" ht="12.75">
      <c r="A38" t="s">
        <v>18</v>
      </c>
      <c r="D38">
        <v>20</v>
      </c>
      <c r="E38">
        <v>20</v>
      </c>
      <c r="F38">
        <v>20</v>
      </c>
      <c r="G38">
        <v>20</v>
      </c>
      <c r="H38">
        <v>20</v>
      </c>
      <c r="I38">
        <v>20</v>
      </c>
      <c r="J38">
        <v>20</v>
      </c>
      <c r="K38">
        <v>20</v>
      </c>
      <c r="L38">
        <v>20</v>
      </c>
      <c r="M38">
        <v>20</v>
      </c>
      <c r="N38">
        <v>20</v>
      </c>
    </row>
    <row r="39" spans="1:14" ht="12.75">
      <c r="A39" t="s">
        <v>19</v>
      </c>
      <c r="D39">
        <v>30</v>
      </c>
      <c r="E39">
        <v>30</v>
      </c>
      <c r="F39">
        <v>30</v>
      </c>
      <c r="G39">
        <v>30</v>
      </c>
      <c r="H39">
        <v>30</v>
      </c>
      <c r="I39">
        <v>30</v>
      </c>
      <c r="J39">
        <v>30</v>
      </c>
      <c r="K39">
        <v>30</v>
      </c>
      <c r="L39">
        <v>30</v>
      </c>
      <c r="M39">
        <v>30</v>
      </c>
      <c r="N39">
        <v>30</v>
      </c>
    </row>
    <row r="40" ht="12.75">
      <c r="A40" t="s">
        <v>30</v>
      </c>
    </row>
    <row r="41" spans="1:14" ht="12.75">
      <c r="A41" t="s">
        <v>17</v>
      </c>
      <c r="D41">
        <f>D33*(1+D37/100)*1.1</f>
        <v>491.05833333333345</v>
      </c>
      <c r="E41">
        <f aca="true" t="shared" si="16" ref="E41:N41">E33*(1+E37/100)*1.1</f>
        <v>491.05833333333345</v>
      </c>
      <c r="F41">
        <f t="shared" si="16"/>
        <v>525.4324166666669</v>
      </c>
      <c r="G41">
        <f t="shared" si="16"/>
        <v>559.5855237500002</v>
      </c>
      <c r="H41">
        <f t="shared" si="16"/>
        <v>593.1606551750003</v>
      </c>
      <c r="I41">
        <f t="shared" si="16"/>
        <v>625.7844912096256</v>
      </c>
      <c r="J41">
        <f t="shared" si="16"/>
        <v>657.0737157701072</v>
      </c>
      <c r="K41">
        <f t="shared" si="16"/>
        <v>686.6420329797622</v>
      </c>
      <c r="L41">
        <f t="shared" si="16"/>
        <v>714.1077142989534</v>
      </c>
      <c r="M41">
        <f t="shared" si="16"/>
        <v>739.1014842994173</v>
      </c>
      <c r="N41">
        <f t="shared" si="16"/>
        <v>761.2745288284004</v>
      </c>
    </row>
    <row r="42" spans="1:14" ht="12.75">
      <c r="A42" t="s">
        <v>18</v>
      </c>
      <c r="D42">
        <f aca="true" t="shared" si="17" ref="D42:N43">D34*(1+D38/100)*1.1</f>
        <v>848.6280000000003</v>
      </c>
      <c r="E42">
        <f t="shared" si="17"/>
        <v>848.6279999999999</v>
      </c>
      <c r="F42">
        <f t="shared" si="17"/>
        <v>908.0319600000003</v>
      </c>
      <c r="G42">
        <f t="shared" si="17"/>
        <v>967.0540374000004</v>
      </c>
      <c r="H42">
        <f t="shared" si="17"/>
        <v>1025.0772796440008</v>
      </c>
      <c r="I42">
        <f t="shared" si="17"/>
        <v>1081.456530024421</v>
      </c>
      <c r="J42">
        <f t="shared" si="17"/>
        <v>1135.5293565256427</v>
      </c>
      <c r="K42">
        <f t="shared" si="17"/>
        <v>1186.6281775692973</v>
      </c>
      <c r="L42">
        <f t="shared" si="17"/>
        <v>1234.0933046720702</v>
      </c>
      <c r="M42">
        <f t="shared" si="17"/>
        <v>1277.2865703355935</v>
      </c>
      <c r="N42">
        <f t="shared" si="17"/>
        <v>1315.6051674456626</v>
      </c>
    </row>
    <row r="43" spans="1:14" ht="12.75">
      <c r="A43" t="s">
        <v>19</v>
      </c>
      <c r="D43">
        <f t="shared" si="17"/>
        <v>885.3606666666668</v>
      </c>
      <c r="E43">
        <f t="shared" si="17"/>
        <v>885.3606666666668</v>
      </c>
      <c r="F43">
        <f t="shared" si="17"/>
        <v>947.3359133333336</v>
      </c>
      <c r="G43">
        <f t="shared" si="17"/>
        <v>1008.9127477000005</v>
      </c>
      <c r="H43">
        <f t="shared" si="17"/>
        <v>1069.4475125620008</v>
      </c>
      <c r="I43">
        <f t="shared" si="17"/>
        <v>1128.2671257529112</v>
      </c>
      <c r="J43">
        <f t="shared" si="17"/>
        <v>1184.6804820405573</v>
      </c>
      <c r="K43">
        <f t="shared" si="17"/>
        <v>1237.991103732383</v>
      </c>
      <c r="L43">
        <f t="shared" si="17"/>
        <v>1287.510747881679</v>
      </c>
      <c r="M43">
        <f t="shared" si="17"/>
        <v>1332.5736240575393</v>
      </c>
      <c r="N43">
        <f t="shared" si="17"/>
        <v>1372.5508327792663</v>
      </c>
    </row>
    <row r="44" ht="12.75">
      <c r="A44" t="s">
        <v>31</v>
      </c>
    </row>
    <row r="45" spans="1:14" ht="12.75">
      <c r="A45" t="s">
        <v>17</v>
      </c>
      <c r="D45">
        <f aca="true" t="shared" si="18" ref="D45:N45">D41*D6/1000</f>
        <v>108.03283333333336</v>
      </c>
      <c r="E45">
        <f t="shared" si="18"/>
        <v>162.04925000000003</v>
      </c>
      <c r="F45">
        <f t="shared" si="18"/>
        <v>173.39269750000005</v>
      </c>
      <c r="G45">
        <f t="shared" si="18"/>
        <v>184.66322283750006</v>
      </c>
      <c r="H45">
        <f t="shared" si="18"/>
        <v>195.7430162077501</v>
      </c>
      <c r="I45">
        <f t="shared" si="18"/>
        <v>206.50888209917645</v>
      </c>
      <c r="J45">
        <f t="shared" si="18"/>
        <v>216.8343262041354</v>
      </c>
      <c r="K45">
        <f t="shared" si="18"/>
        <v>226.59187088332155</v>
      </c>
      <c r="L45">
        <f t="shared" si="18"/>
        <v>235.65554571865462</v>
      </c>
      <c r="M45">
        <f t="shared" si="18"/>
        <v>243.90348981880769</v>
      </c>
      <c r="N45">
        <f t="shared" si="18"/>
        <v>251.22059451337213</v>
      </c>
    </row>
    <row r="46" spans="1:14" ht="12.75">
      <c r="A46" t="s">
        <v>18</v>
      </c>
      <c r="D46">
        <f aca="true" t="shared" si="19" ref="D46:N46">D42*D7/1000</f>
        <v>65.34435600000002</v>
      </c>
      <c r="E46">
        <f t="shared" si="19"/>
        <v>93.34907999999999</v>
      </c>
      <c r="F46">
        <f t="shared" si="19"/>
        <v>99.88351560000002</v>
      </c>
      <c r="G46">
        <f t="shared" si="19"/>
        <v>106.37594411400003</v>
      </c>
      <c r="H46">
        <f t="shared" si="19"/>
        <v>112.75850076084009</v>
      </c>
      <c r="I46">
        <f t="shared" si="19"/>
        <v>118.9602183026863</v>
      </c>
      <c r="J46">
        <f t="shared" si="19"/>
        <v>124.9082292178207</v>
      </c>
      <c r="K46">
        <f t="shared" si="19"/>
        <v>130.52909953262272</v>
      </c>
      <c r="L46">
        <f t="shared" si="19"/>
        <v>135.75026351392773</v>
      </c>
      <c r="M46">
        <f t="shared" si="19"/>
        <v>140.5015227369153</v>
      </c>
      <c r="N46">
        <f t="shared" si="19"/>
        <v>144.7165684190229</v>
      </c>
    </row>
    <row r="47" spans="1:15" ht="12.75">
      <c r="A47" t="s">
        <v>19</v>
      </c>
      <c r="D47">
        <f aca="true" t="shared" si="20" ref="D47:N47">D43*D8/1000</f>
        <v>97.38967333333335</v>
      </c>
      <c r="E47">
        <f t="shared" si="20"/>
        <v>146.08451000000005</v>
      </c>
      <c r="F47">
        <f t="shared" si="20"/>
        <v>156.31042570000005</v>
      </c>
      <c r="G47">
        <f t="shared" si="20"/>
        <v>166.4706033705001</v>
      </c>
      <c r="H47">
        <f t="shared" si="20"/>
        <v>176.4588395727301</v>
      </c>
      <c r="I47">
        <f t="shared" si="20"/>
        <v>186.16407574923034</v>
      </c>
      <c r="J47">
        <f t="shared" si="20"/>
        <v>195.47227953669196</v>
      </c>
      <c r="K47">
        <f t="shared" si="20"/>
        <v>204.2685321158432</v>
      </c>
      <c r="L47">
        <f t="shared" si="20"/>
        <v>212.43927340047702</v>
      </c>
      <c r="M47">
        <f t="shared" si="20"/>
        <v>219.874647969494</v>
      </c>
      <c r="N47">
        <f t="shared" si="20"/>
        <v>226.47088740857893</v>
      </c>
      <c r="O47">
        <f>SUM(D45:N47)</f>
        <v>5465.076775470766</v>
      </c>
    </row>
    <row r="48" spans="1:15" ht="12.75">
      <c r="A48" t="s">
        <v>32</v>
      </c>
      <c r="D48">
        <f aca="true" t="shared" si="21" ref="D48:N48">(D45+D46+D47)-(D25+D26+D27)</f>
        <v>74.58956266666672</v>
      </c>
      <c r="E48">
        <f t="shared" si="21"/>
        <v>110.75284000000005</v>
      </c>
      <c r="F48">
        <f t="shared" si="21"/>
        <v>118.50553880000007</v>
      </c>
      <c r="G48">
        <f t="shared" si="21"/>
        <v>126.2083988220001</v>
      </c>
      <c r="H48">
        <f t="shared" si="21"/>
        <v>133.78090275132007</v>
      </c>
      <c r="I48">
        <f t="shared" si="21"/>
        <v>141.13885240264278</v>
      </c>
      <c r="J48">
        <f t="shared" si="21"/>
        <v>148.1957950227751</v>
      </c>
      <c r="K48">
        <f t="shared" si="21"/>
        <v>154.86460579879991</v>
      </c>
      <c r="L48">
        <f t="shared" si="21"/>
        <v>161.05919003075195</v>
      </c>
      <c r="M48">
        <f t="shared" si="21"/>
        <v>166.6962616818285</v>
      </c>
      <c r="N48">
        <f t="shared" si="21"/>
        <v>171.69714953228356</v>
      </c>
      <c r="O48">
        <f>SUM(D48:N48)</f>
        <v>1507.4890975090689</v>
      </c>
    </row>
    <row r="49" spans="1:14" ht="12.75">
      <c r="A49" t="s">
        <v>33</v>
      </c>
      <c r="D49">
        <f aca="true" t="shared" si="22" ref="D49:N49">(D25+D26+D27)/10</f>
        <v>19.61773</v>
      </c>
      <c r="E49">
        <f t="shared" si="22"/>
        <v>29.073</v>
      </c>
      <c r="F49">
        <f t="shared" si="22"/>
        <v>31.108110000000003</v>
      </c>
      <c r="G49">
        <f t="shared" si="22"/>
        <v>33.13013715000001</v>
      </c>
      <c r="H49">
        <f t="shared" si="22"/>
        <v>35.11794537900002</v>
      </c>
      <c r="I49">
        <f t="shared" si="22"/>
        <v>37.04943237484503</v>
      </c>
      <c r="J49">
        <f t="shared" si="22"/>
        <v>38.901903993587304</v>
      </c>
      <c r="K49">
        <f t="shared" si="22"/>
        <v>40.65248967329875</v>
      </c>
      <c r="L49">
        <f t="shared" si="22"/>
        <v>42.27858926023073</v>
      </c>
      <c r="M49">
        <f t="shared" si="22"/>
        <v>43.758339884338845</v>
      </c>
      <c r="N49">
        <f t="shared" si="22"/>
        <v>45.07109008086904</v>
      </c>
    </row>
    <row r="50" spans="1:14" ht="12.75">
      <c r="A50" t="s">
        <v>34</v>
      </c>
      <c r="B50">
        <f aca="true" t="shared" si="23" ref="B50:G50">B10*0.2*0.9</f>
        <v>16.2</v>
      </c>
      <c r="C50">
        <f t="shared" si="23"/>
        <v>32.4</v>
      </c>
      <c r="D50">
        <f t="shared" si="23"/>
        <v>40.5</v>
      </c>
      <c r="E50">
        <f t="shared" si="23"/>
        <v>25.797628799999995</v>
      </c>
      <c r="F50">
        <f t="shared" si="23"/>
        <v>10.066091615999982</v>
      </c>
      <c r="G50">
        <f t="shared" si="23"/>
        <v>-6.687995484960036</v>
      </c>
      <c r="H50">
        <v>0</v>
      </c>
      <c r="I50">
        <f aca="true" t="shared" si="24" ref="I50:N50">I10*0.2</f>
        <v>0</v>
      </c>
      <c r="J50">
        <f t="shared" si="24"/>
        <v>0</v>
      </c>
      <c r="K50">
        <f t="shared" si="24"/>
        <v>0</v>
      </c>
      <c r="L50">
        <f t="shared" si="24"/>
        <v>0</v>
      </c>
      <c r="M50">
        <f t="shared" si="24"/>
        <v>0</v>
      </c>
      <c r="N50">
        <f t="shared" si="24"/>
        <v>0</v>
      </c>
    </row>
    <row r="51" spans="1:4" ht="12.75">
      <c r="A51" t="s">
        <v>35</v>
      </c>
      <c r="B51">
        <f>-(B48-B49-B50)</f>
        <v>16.2</v>
      </c>
      <c r="C51">
        <f>-(C48-C49-C50)+B52</f>
        <v>35.316</v>
      </c>
      <c r="D51">
        <f>-(D48-D49-D50)+C52</f>
        <v>-8.11495266666672</v>
      </c>
    </row>
    <row r="52" spans="1:4" ht="12.75">
      <c r="A52" t="s">
        <v>36</v>
      </c>
      <c r="B52">
        <f>B51*0.2*0.9</f>
        <v>2.9160000000000004</v>
      </c>
      <c r="C52">
        <f>C51*0.2*0.9</f>
        <v>6.356880000000001</v>
      </c>
      <c r="D52">
        <f>D51*0.2*0.9</f>
        <v>-1.46069148000001</v>
      </c>
    </row>
    <row r="53" spans="1:15" ht="12.75">
      <c r="A53" t="s">
        <v>37</v>
      </c>
      <c r="B53">
        <f>-B50-B52</f>
        <v>-19.116</v>
      </c>
      <c r="C53">
        <f>-C50-C52</f>
        <v>-38.75688</v>
      </c>
      <c r="D53">
        <f aca="true" t="shared" si="25" ref="D53:N53">D48-D49-D50-D52</f>
        <v>15.932524146666731</v>
      </c>
      <c r="E53">
        <f t="shared" si="25"/>
        <v>55.88221120000004</v>
      </c>
      <c r="F53">
        <f t="shared" si="25"/>
        <v>77.33133718400008</v>
      </c>
      <c r="G53">
        <f t="shared" si="25"/>
        <v>99.76625715696014</v>
      </c>
      <c r="H53">
        <f t="shared" si="25"/>
        <v>98.66295737232005</v>
      </c>
      <c r="I53">
        <f t="shared" si="25"/>
        <v>104.08942002779776</v>
      </c>
      <c r="J53">
        <f t="shared" si="25"/>
        <v>109.29389102918779</v>
      </c>
      <c r="K53">
        <f t="shared" si="25"/>
        <v>114.21211612550115</v>
      </c>
      <c r="L53">
        <f t="shared" si="25"/>
        <v>118.78060077052122</v>
      </c>
      <c r="M53">
        <f t="shared" si="25"/>
        <v>122.93792179748965</v>
      </c>
      <c r="N53">
        <f t="shared" si="25"/>
        <v>126.62605945141452</v>
      </c>
      <c r="O53">
        <f>SUM(B53:N53)</f>
        <v>985.6424162618592</v>
      </c>
    </row>
    <row r="54" spans="1:14" ht="12.75">
      <c r="A54" t="s">
        <v>38</v>
      </c>
      <c r="B54">
        <v>0</v>
      </c>
      <c r="C54">
        <v>0</v>
      </c>
      <c r="D54">
        <v>0</v>
      </c>
      <c r="E54">
        <f aca="true" t="shared" si="26" ref="E54:N54">E53*0.3</f>
        <v>16.76466336000001</v>
      </c>
      <c r="F54">
        <f t="shared" si="26"/>
        <v>23.19940115520002</v>
      </c>
      <c r="G54">
        <f t="shared" si="26"/>
        <v>29.92987714708804</v>
      </c>
      <c r="H54">
        <f t="shared" si="26"/>
        <v>29.598887211696013</v>
      </c>
      <c r="I54">
        <f t="shared" si="26"/>
        <v>31.226826008339327</v>
      </c>
      <c r="J54">
        <f t="shared" si="26"/>
        <v>32.788167308756336</v>
      </c>
      <c r="K54">
        <f t="shared" si="26"/>
        <v>34.26363483765034</v>
      </c>
      <c r="L54">
        <f t="shared" si="26"/>
        <v>35.634180231156364</v>
      </c>
      <c r="M54">
        <f t="shared" si="26"/>
        <v>36.881376539246894</v>
      </c>
      <c r="N54">
        <f t="shared" si="26"/>
        <v>37.98781783542435</v>
      </c>
    </row>
    <row r="55" spans="1:15" ht="12.75">
      <c r="A55" t="s">
        <v>39</v>
      </c>
      <c r="B55">
        <f aca="true" t="shared" si="27" ref="B55:N55">B53-B54</f>
        <v>-19.116</v>
      </c>
      <c r="C55">
        <f t="shared" si="27"/>
        <v>-38.75688</v>
      </c>
      <c r="D55">
        <f t="shared" si="27"/>
        <v>15.932524146666731</v>
      </c>
      <c r="E55">
        <f t="shared" si="27"/>
        <v>39.11754784000003</v>
      </c>
      <c r="F55">
        <f t="shared" si="27"/>
        <v>54.131936028800055</v>
      </c>
      <c r="G55">
        <f t="shared" si="27"/>
        <v>69.8363800098721</v>
      </c>
      <c r="H55">
        <f t="shared" si="27"/>
        <v>69.06407016062404</v>
      </c>
      <c r="I55">
        <f t="shared" si="27"/>
        <v>72.86259401945843</v>
      </c>
      <c r="J55">
        <f t="shared" si="27"/>
        <v>76.50572372043146</v>
      </c>
      <c r="K55">
        <f t="shared" si="27"/>
        <v>79.94848128785081</v>
      </c>
      <c r="L55">
        <f t="shared" si="27"/>
        <v>83.14642053936485</v>
      </c>
      <c r="M55">
        <f t="shared" si="27"/>
        <v>86.05654525824275</v>
      </c>
      <c r="N55">
        <f t="shared" si="27"/>
        <v>88.63824161599017</v>
      </c>
      <c r="O55">
        <f>SUM(B55:N55)</f>
        <v>677.3675846273015</v>
      </c>
    </row>
    <row r="56" spans="1:14" ht="12.75">
      <c r="A56" t="s">
        <v>40</v>
      </c>
      <c r="C56">
        <f>0.208*3</f>
        <v>0.624</v>
      </c>
      <c r="D56">
        <f>0.208*12+1.875*5</f>
        <v>11.871</v>
      </c>
      <c r="E56">
        <f aca="true" t="shared" si="28" ref="E56:M56">0.208*12+1.875*12</f>
        <v>24.996</v>
      </c>
      <c r="F56">
        <f t="shared" si="28"/>
        <v>24.996</v>
      </c>
      <c r="G56">
        <f t="shared" si="28"/>
        <v>24.996</v>
      </c>
      <c r="H56">
        <f t="shared" si="28"/>
        <v>24.996</v>
      </c>
      <c r="I56">
        <f t="shared" si="28"/>
        <v>24.996</v>
      </c>
      <c r="J56">
        <f t="shared" si="28"/>
        <v>24.996</v>
      </c>
      <c r="K56">
        <f t="shared" si="28"/>
        <v>24.996</v>
      </c>
      <c r="L56">
        <f t="shared" si="28"/>
        <v>24.996</v>
      </c>
      <c r="M56">
        <f t="shared" si="28"/>
        <v>24.996</v>
      </c>
      <c r="N56">
        <f>1.875*7+0.208*12</f>
        <v>15.621</v>
      </c>
    </row>
    <row r="58" spans="1:14" ht="12.75">
      <c r="A58" t="s">
        <v>41</v>
      </c>
      <c r="B58">
        <f>-B9+B55</f>
        <v>-109.116</v>
      </c>
      <c r="C58">
        <f aca="true" t="shared" si="29" ref="C58:N58">-C9+C55+C56</f>
        <v>-128.13288</v>
      </c>
      <c r="D58">
        <f t="shared" si="29"/>
        <v>-17.19647585333327</v>
      </c>
      <c r="E58">
        <f t="shared" si="29"/>
        <v>64.11354784000002</v>
      </c>
      <c r="F58">
        <f t="shared" si="29"/>
        <v>79.12793602880005</v>
      </c>
      <c r="G58">
        <f t="shared" si="29"/>
        <v>94.8323800098721</v>
      </c>
      <c r="H58">
        <f t="shared" si="29"/>
        <v>94.06007016062404</v>
      </c>
      <c r="I58">
        <f t="shared" si="29"/>
        <v>97.85859401945842</v>
      </c>
      <c r="J58">
        <f t="shared" si="29"/>
        <v>101.50172372043146</v>
      </c>
      <c r="K58">
        <f t="shared" si="29"/>
        <v>104.9444812878508</v>
      </c>
      <c r="L58">
        <f t="shared" si="29"/>
        <v>108.14242053936485</v>
      </c>
      <c r="M58">
        <f t="shared" si="29"/>
        <v>111.05254525824274</v>
      </c>
      <c r="N58">
        <f t="shared" si="29"/>
        <v>104.25924161599016</v>
      </c>
    </row>
    <row r="59" spans="1:14" ht="12.75">
      <c r="A59" t="s">
        <v>42</v>
      </c>
      <c r="B59">
        <f>B58</f>
        <v>-109.116</v>
      </c>
      <c r="C59">
        <f aca="true" t="shared" si="30" ref="C59:N59">C58+B59</f>
        <v>-237.24887999999999</v>
      </c>
      <c r="D59">
        <f t="shared" si="30"/>
        <v>-254.44535585333324</v>
      </c>
      <c r="E59">
        <f t="shared" si="30"/>
        <v>-190.33180801333322</v>
      </c>
      <c r="F59">
        <f t="shared" si="30"/>
        <v>-111.20387198453317</v>
      </c>
      <c r="G59">
        <f t="shared" si="30"/>
        <v>-16.37149197466107</v>
      </c>
      <c r="H59">
        <f t="shared" si="30"/>
        <v>77.68857818596297</v>
      </c>
      <c r="I59">
        <f t="shared" si="30"/>
        <v>175.5471722054214</v>
      </c>
      <c r="J59">
        <f t="shared" si="30"/>
        <v>277.04889592585283</v>
      </c>
      <c r="K59">
        <f t="shared" si="30"/>
        <v>381.99337721370364</v>
      </c>
      <c r="L59">
        <f t="shared" si="30"/>
        <v>490.13579775306846</v>
      </c>
      <c r="M59">
        <f t="shared" si="30"/>
        <v>601.1883430113112</v>
      </c>
      <c r="N59">
        <f t="shared" si="30"/>
        <v>705.4475846273014</v>
      </c>
    </row>
    <row r="61" spans="1:14" ht="12.75">
      <c r="A61" t="s">
        <v>43</v>
      </c>
      <c r="B61">
        <f>1/POWER(1.2,0.5)</f>
        <v>0.9128709291752769</v>
      </c>
      <c r="C61">
        <f>1/POWER(1.2,1.5)</f>
        <v>0.7607257743127307</v>
      </c>
      <c r="D61">
        <f>1/POWER(1.2,2.5)</f>
        <v>0.633938145260609</v>
      </c>
      <c r="E61">
        <f>1/POWER(1.2,3.5)</f>
        <v>0.5282817877171742</v>
      </c>
      <c r="F61">
        <f>1/POWER(1.2,4.5)</f>
        <v>0.44023482309764517</v>
      </c>
      <c r="G61">
        <f>1/POWER(1.2,5.5)</f>
        <v>0.36686235258137107</v>
      </c>
      <c r="H61">
        <f>1/POWER(1.2,6.5)</f>
        <v>0.3057186271511425</v>
      </c>
      <c r="I61">
        <f>1/POWER(1.2,7.5)</f>
        <v>0.25476552262595203</v>
      </c>
      <c r="J61">
        <f>1/POWER(1.2,8.5)</f>
        <v>0.21230460218829345</v>
      </c>
      <c r="K61">
        <f>1/POWER(1.2,9.5)</f>
        <v>0.17692050182357785</v>
      </c>
      <c r="L61">
        <f>1/POWER(1.2,10.5)</f>
        <v>0.14743375151964822</v>
      </c>
      <c r="M61">
        <f>1/POWER(1.2,11.5)</f>
        <v>0.12286145959970685</v>
      </c>
      <c r="N61">
        <f>1/POWER(1.2,12.5)</f>
        <v>0.1023845496664224</v>
      </c>
    </row>
    <row r="62" spans="1:14" ht="12.75">
      <c r="A62" t="s">
        <v>44</v>
      </c>
      <c r="B62">
        <f aca="true" t="shared" si="31" ref="B62:N62">B58*B61</f>
        <v>-99.60882430788952</v>
      </c>
      <c r="C62">
        <f t="shared" si="31"/>
        <v>-97.47398435292021</v>
      </c>
      <c r="D62">
        <f t="shared" si="31"/>
        <v>-10.901502007480941</v>
      </c>
      <c r="E62">
        <f t="shared" si="31"/>
        <v>33.870019669805785</v>
      </c>
      <c r="F62">
        <f t="shared" si="31"/>
        <v>34.834872919720574</v>
      </c>
      <c r="G62">
        <f t="shared" si="31"/>
        <v>34.79043003131226</v>
      </c>
      <c r="H62">
        <f t="shared" si="31"/>
        <v>28.755915519246123</v>
      </c>
      <c r="I62">
        <f t="shared" si="31"/>
        <v>24.930995848808188</v>
      </c>
      <c r="J62">
        <f t="shared" si="31"/>
        <v>21.54928307589227</v>
      </c>
      <c r="K62">
        <f t="shared" si="31"/>
        <v>18.566830293061642</v>
      </c>
      <c r="L62">
        <f t="shared" si="31"/>
        <v>15.943842758534018</v>
      </c>
      <c r="M62">
        <f t="shared" si="31"/>
        <v>13.644077802690207</v>
      </c>
      <c r="N62">
        <f t="shared" si="31"/>
        <v>10.674535501415878</v>
      </c>
    </row>
    <row r="63" spans="1:14" ht="12.75">
      <c r="A63" t="s">
        <v>45</v>
      </c>
      <c r="B63">
        <f aca="true" t="shared" si="32" ref="B63:N63">B59*B61</f>
        <v>-99.60882430788952</v>
      </c>
      <c r="C63">
        <f t="shared" si="32"/>
        <v>-180.4813379428281</v>
      </c>
      <c r="D63">
        <f t="shared" si="32"/>
        <v>-161.3026169598377</v>
      </c>
      <c r="E63">
        <f t="shared" si="32"/>
        <v>-100.54882779672565</v>
      </c>
      <c r="F63">
        <f t="shared" si="32"/>
        <v>-48.95581691088414</v>
      </c>
      <c r="G63">
        <f t="shared" si="32"/>
        <v>-6.006084061091196</v>
      </c>
      <c r="H63">
        <f t="shared" si="32"/>
        <v>23.750845468336795</v>
      </c>
      <c r="I63">
        <f t="shared" si="32"/>
        <v>44.72336707242218</v>
      </c>
      <c r="J63">
        <f t="shared" si="32"/>
        <v>58.8187556362441</v>
      </c>
      <c r="K63">
        <f t="shared" si="32"/>
        <v>67.58245998993172</v>
      </c>
      <c r="L63">
        <f t="shared" si="32"/>
        <v>72.26255941681045</v>
      </c>
      <c r="M63">
        <f t="shared" si="32"/>
        <v>73.86287731669891</v>
      </c>
      <c r="N63">
        <f t="shared" si="32"/>
        <v>72.22693326533165</v>
      </c>
    </row>
    <row r="64" spans="1:4" ht="12.75">
      <c r="A64" t="s">
        <v>46</v>
      </c>
      <c r="B64">
        <f>B9*B61</f>
        <v>82.15838362577492</v>
      </c>
      <c r="C64">
        <f>C9*C61</f>
        <v>68.46531968814577</v>
      </c>
      <c r="D64">
        <f>D9*D61</f>
        <v>28.527216536727405</v>
      </c>
    </row>
    <row r="65" spans="1:4" ht="12.75">
      <c r="A65" t="s">
        <v>47</v>
      </c>
      <c r="B65">
        <f>B64</f>
        <v>82.15838362577492</v>
      </c>
      <c r="C65">
        <f>B65+C64</f>
        <v>150.62370331392069</v>
      </c>
      <c r="D65">
        <f>C65+D64</f>
        <v>179.15091985064808</v>
      </c>
    </row>
    <row r="66" spans="1:14" ht="12.75">
      <c r="A66" t="s">
        <v>48</v>
      </c>
      <c r="N66">
        <f>N63</f>
        <v>72.22693326533165</v>
      </c>
    </row>
    <row r="67" spans="1:14" ht="12.75">
      <c r="A67" t="s">
        <v>49</v>
      </c>
      <c r="N67">
        <f>N66/D65</f>
        <v>0.4031625030200501</v>
      </c>
    </row>
    <row r="68" spans="1:14" ht="12.75">
      <c r="A68" t="s">
        <v>50</v>
      </c>
      <c r="N68">
        <v>6.129</v>
      </c>
    </row>
    <row r="70" spans="1:14" ht="12.75">
      <c r="A70" t="s">
        <v>43</v>
      </c>
      <c r="B70">
        <f>1/POWER(1.15,0.5)</f>
        <v>0.9325048082403138</v>
      </c>
      <c r="C70">
        <f>1/POWER(1.15,1.5)</f>
        <v>0.8108737462959251</v>
      </c>
      <c r="D70">
        <f>1/POWER(1.15,2.5)</f>
        <v>0.7051076054747175</v>
      </c>
      <c r="E70">
        <f>1/POWER(1.15,3.5)</f>
        <v>0.6131370482388848</v>
      </c>
      <c r="F70">
        <f>1/POWER(1.15,4.5)</f>
        <v>0.5331626506425087</v>
      </c>
      <c r="G70">
        <f>1/POWER(1.15,5.5)</f>
        <v>0.4636196962108771</v>
      </c>
      <c r="H70">
        <f>1/POWER(1.15,6.5)</f>
        <v>0.40314756192250184</v>
      </c>
      <c r="I70">
        <f>1/POWER(1.15,7.5)</f>
        <v>0.35056309732391466</v>
      </c>
      <c r="J70">
        <f>1/POWER(1.15,8.5)</f>
        <v>0.30483747593383886</v>
      </c>
      <c r="K70">
        <f>1/POWER(1.15,9.5)</f>
        <v>0.26507606602942513</v>
      </c>
      <c r="L70">
        <f>1/POWER(1.15,10.5)</f>
        <v>0.23050092698210878</v>
      </c>
      <c r="M70">
        <f>1/POWER(1.15,11.5)</f>
        <v>0.20043558868009465</v>
      </c>
      <c r="N70">
        <f>1/POWER(1.15,12.5)</f>
        <v>0.17429181624356058</v>
      </c>
    </row>
    <row r="71" spans="1:14" ht="12.75">
      <c r="A71" t="s">
        <v>44</v>
      </c>
      <c r="B71">
        <f aca="true" t="shared" si="33" ref="B71:N71">B58*B70</f>
        <v>-101.75119465595007</v>
      </c>
      <c r="C71">
        <f t="shared" si="33"/>
        <v>-103.89958842928621</v>
      </c>
      <c r="D71">
        <f t="shared" si="33"/>
        <v>-12.12536591154762</v>
      </c>
      <c r="E71">
        <f t="shared" si="33"/>
        <v>39.31039147474014</v>
      </c>
      <c r="F71">
        <f t="shared" si="33"/>
        <v>42.188060112985895</v>
      </c>
      <c r="G71">
        <f t="shared" si="33"/>
        <v>43.966159211131355</v>
      </c>
      <c r="H71">
        <f t="shared" si="33"/>
        <v>37.920087959515044</v>
      </c>
      <c r="I71">
        <f t="shared" si="33"/>
        <v>34.30561181922486</v>
      </c>
      <c r="J71">
        <f t="shared" si="33"/>
        <v>30.941529261870187</v>
      </c>
      <c r="K71">
        <f t="shared" si="33"/>
        <v>27.81827025128211</v>
      </c>
      <c r="L71">
        <f t="shared" si="33"/>
        <v>24.926928180412638</v>
      </c>
      <c r="M71">
        <f t="shared" si="33"/>
        <v>22.25888228325874</v>
      </c>
      <c r="N71">
        <f t="shared" si="33"/>
        <v>18.17153258142714</v>
      </c>
    </row>
    <row r="72" spans="1:14" ht="12.75">
      <c r="A72" t="s">
        <v>45</v>
      </c>
      <c r="B72">
        <f aca="true" t="shared" si="34" ref="B72:N72">B59*B70</f>
        <v>-101.75119465595007</v>
      </c>
      <c r="C72">
        <f t="shared" si="34"/>
        <v>-192.3788881301124</v>
      </c>
      <c r="D72">
        <f t="shared" si="34"/>
        <v>-179.4113555899062</v>
      </c>
      <c r="E72">
        <f t="shared" si="34"/>
        <v>-116.69948295126525</v>
      </c>
      <c r="F72">
        <f t="shared" si="34"/>
        <v>-59.28975114898391</v>
      </c>
      <c r="G72">
        <f t="shared" si="34"/>
        <v>-7.590146135811177</v>
      </c>
      <c r="H72">
        <f t="shared" si="34"/>
        <v>31.31996088489663</v>
      </c>
      <c r="I72">
        <f t="shared" si="34"/>
        <v>61.540360414787145</v>
      </c>
      <c r="J72">
        <f t="shared" si="34"/>
        <v>84.4548861442938</v>
      </c>
      <c r="K72">
        <f t="shared" si="34"/>
        <v>101.2573016811028</v>
      </c>
      <c r="L72">
        <f t="shared" si="34"/>
        <v>112.97675572919766</v>
      </c>
      <c r="M72">
        <f t="shared" si="34"/>
        <v>120.49953943908282</v>
      </c>
      <c r="N72">
        <f t="shared" si="34"/>
        <v>122.95374078932525</v>
      </c>
    </row>
    <row r="73" spans="1:4" ht="12.75">
      <c r="A73" t="s">
        <v>46</v>
      </c>
      <c r="B73">
        <f>B9*B70</f>
        <v>83.92543274162824</v>
      </c>
      <c r="C73">
        <f>C9*C70</f>
        <v>72.97863716663326</v>
      </c>
      <c r="D73">
        <f>D9*D70</f>
        <v>31.72984224636229</v>
      </c>
    </row>
    <row r="74" spans="1:4" ht="12.75">
      <c r="A74" t="s">
        <v>47</v>
      </c>
      <c r="B74">
        <f>B73</f>
        <v>83.92543274162824</v>
      </c>
      <c r="C74">
        <f>B74+C73</f>
        <v>156.9040699082615</v>
      </c>
      <c r="D74">
        <f>C74+D73</f>
        <v>188.6339121546238</v>
      </c>
    </row>
    <row r="75" spans="1:14" ht="12.75">
      <c r="A75" t="s">
        <v>48</v>
      </c>
      <c r="N75">
        <f>N72</f>
        <v>122.95374078932525</v>
      </c>
    </row>
    <row r="76" spans="1:14" ht="12.75">
      <c r="A76" t="s">
        <v>49</v>
      </c>
      <c r="N76">
        <f>N75/D74</f>
        <v>0.6518114340359951</v>
      </c>
    </row>
    <row r="77" ht="12.75">
      <c r="A77" t="s">
        <v>50</v>
      </c>
    </row>
    <row r="79" spans="1:14" ht="12.75">
      <c r="A79" t="s">
        <v>43</v>
      </c>
      <c r="B79">
        <f>1/POWER(1.25,0.5)</f>
        <v>0.8944271909999159</v>
      </c>
      <c r="C79">
        <f>1/POWER(1.25,1.5)</f>
        <v>0.7155417527999327</v>
      </c>
      <c r="D79">
        <f>1/POWER(1.25,2.5)</f>
        <v>0.5724334022399462</v>
      </c>
      <c r="E79">
        <f>1/POWER(1.25,3.5)</f>
        <v>0.4579467217919569</v>
      </c>
      <c r="F79">
        <f>1/POWER(1.25,4.5)</f>
        <v>0.36635737743356556</v>
      </c>
      <c r="G79">
        <f>1/POWER(1.25,5.5)</f>
        <v>0.29308590194685247</v>
      </c>
      <c r="H79">
        <f>1/POWER(1.25,6.5)</f>
        <v>0.2344687215574819</v>
      </c>
      <c r="I79">
        <f>1/POWER(1.25,7.5)</f>
        <v>0.18757497724598554</v>
      </c>
      <c r="J79">
        <f>1/POWER(1.25,8.5)</f>
        <v>0.15005998179678842</v>
      </c>
      <c r="K79">
        <f>1/POWER(1.25,9.5)</f>
        <v>0.12004798543743075</v>
      </c>
      <c r="L79">
        <f>1/POWER(1.25,10.5)</f>
        <v>0.09603838834994462</v>
      </c>
      <c r="M79">
        <f>1/POWER(1.25,11.5)</f>
        <v>0.0768307106799557</v>
      </c>
      <c r="N79">
        <f>1/POWER(1.25,12.5)</f>
        <v>0.06146456854396452</v>
      </c>
    </row>
    <row r="80" spans="1:14" ht="12.75">
      <c r="A80" t="s">
        <v>44</v>
      </c>
      <c r="B80">
        <f aca="true" t="shared" si="35" ref="B80:N80">B58*B79</f>
        <v>-97.59631737314682</v>
      </c>
      <c r="C80">
        <f t="shared" si="35"/>
        <v>-91.68442554650345</v>
      </c>
      <c r="D80">
        <f t="shared" si="35"/>
        <v>-9.843837179260644</v>
      </c>
      <c r="E80">
        <f t="shared" si="35"/>
        <v>29.36058905577981</v>
      </c>
      <c r="F80">
        <f t="shared" si="35"/>
        <v>28.98910312524213</v>
      </c>
      <c r="G80">
        <f t="shared" si="35"/>
        <v>27.794033628960026</v>
      </c>
      <c r="H80">
        <f t="shared" si="35"/>
        <v>22.05414440016857</v>
      </c>
      <c r="I80">
        <f t="shared" si="35"/>
        <v>18.35582354652405</v>
      </c>
      <c r="J80">
        <f t="shared" si="35"/>
        <v>15.231346813830593</v>
      </c>
      <c r="K80">
        <f t="shared" si="35"/>
        <v>12.598373561382639</v>
      </c>
      <c r="L80">
        <f t="shared" si="35"/>
        <v>10.385823780862548</v>
      </c>
      <c r="M80">
        <f t="shared" si="35"/>
        <v>8.532245975008735</v>
      </c>
      <c r="N80">
        <f t="shared" si="35"/>
        <v>6.408249302647786</v>
      </c>
    </row>
    <row r="81" spans="1:14" ht="12.75">
      <c r="A81" t="s">
        <v>45</v>
      </c>
      <c r="B81">
        <f aca="true" t="shared" si="36" ref="B81:N81">B59*B79</f>
        <v>-97.59631737314682</v>
      </c>
      <c r="C81">
        <f t="shared" si="36"/>
        <v>-169.76147944502088</v>
      </c>
      <c r="D81">
        <f t="shared" si="36"/>
        <v>-145.65302073527735</v>
      </c>
      <c r="E81">
        <f t="shared" si="36"/>
        <v>-87.16182753244206</v>
      </c>
      <c r="F81">
        <f t="shared" si="36"/>
        <v>-40.74035890071153</v>
      </c>
      <c r="G81">
        <f t="shared" si="36"/>
        <v>-4.798253491609196</v>
      </c>
      <c r="H81">
        <f t="shared" si="36"/>
        <v>18.215541606881214</v>
      </c>
      <c r="I81">
        <f t="shared" si="36"/>
        <v>32.92825683202902</v>
      </c>
      <c r="J81">
        <f t="shared" si="36"/>
        <v>41.573952279453806</v>
      </c>
      <c r="K81">
        <f t="shared" si="36"/>
        <v>45.857535384945685</v>
      </c>
      <c r="L81">
        <f t="shared" si="36"/>
        <v>47.0718520888191</v>
      </c>
      <c r="M81">
        <f t="shared" si="36"/>
        <v>46.189727646064014</v>
      </c>
      <c r="N81">
        <f t="shared" si="36"/>
        <v>43.36003141949898</v>
      </c>
    </row>
    <row r="82" spans="1:4" ht="12.75">
      <c r="A82" t="s">
        <v>46</v>
      </c>
      <c r="B82">
        <f>B9*B79</f>
        <v>80.49844718999243</v>
      </c>
      <c r="C82">
        <f>C9*C79</f>
        <v>64.39875775199394</v>
      </c>
      <c r="D82">
        <f>D9*D79</f>
        <v>25.75950310079758</v>
      </c>
    </row>
    <row r="83" spans="1:4" ht="12.75">
      <c r="A83" t="s">
        <v>47</v>
      </c>
      <c r="B83">
        <f>B82</f>
        <v>80.49844718999243</v>
      </c>
      <c r="C83">
        <f>B83+C82</f>
        <v>144.8972049419864</v>
      </c>
      <c r="D83">
        <f>C83+D82</f>
        <v>170.65670804278398</v>
      </c>
    </row>
    <row r="84" spans="1:14" ht="12.75">
      <c r="A84" t="s">
        <v>48</v>
      </c>
      <c r="N84">
        <f>N81</f>
        <v>43.36003141949898</v>
      </c>
    </row>
    <row r="85" spans="1:14" ht="12.75">
      <c r="A85" t="s">
        <v>49</v>
      </c>
      <c r="N85">
        <f>N84/D83</f>
        <v>0.25407750985462896</v>
      </c>
    </row>
    <row r="86" ht="12.75">
      <c r="A86" t="s">
        <v>50</v>
      </c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68"/>
  <sheetViews>
    <sheetView zoomScalePageLayoutView="0" workbookViewId="0" topLeftCell="A1">
      <selection activeCell="H80" sqref="H80"/>
    </sheetView>
  </sheetViews>
  <sheetFormatPr defaultColWidth="9.00390625" defaultRowHeight="12.75"/>
  <sheetData>
    <row r="2" ht="12.75">
      <c r="A2" t="s">
        <v>64</v>
      </c>
    </row>
    <row r="4" spans="1:12" ht="12.75">
      <c r="A4" t="s">
        <v>65</v>
      </c>
      <c r="B4" t="s">
        <v>66</v>
      </c>
      <c r="C4" t="s">
        <v>58</v>
      </c>
      <c r="D4" t="s">
        <v>67</v>
      </c>
      <c r="E4" t="s">
        <v>60</v>
      </c>
      <c r="F4" t="s">
        <v>68</v>
      </c>
      <c r="G4" t="s">
        <v>69</v>
      </c>
      <c r="H4" t="s">
        <v>70</v>
      </c>
      <c r="I4" t="s">
        <v>71</v>
      </c>
      <c r="J4" t="s">
        <v>72</v>
      </c>
      <c r="K4" t="s">
        <v>73</v>
      </c>
      <c r="L4" t="s">
        <v>49</v>
      </c>
    </row>
    <row r="5" spans="1:12" ht="12.75">
      <c r="A5" t="s">
        <v>74</v>
      </c>
      <c r="B5" t="s">
        <v>75</v>
      </c>
      <c r="C5">
        <v>3597.81</v>
      </c>
      <c r="D5">
        <v>4517</v>
      </c>
      <c r="E5">
        <v>919</v>
      </c>
      <c r="F5">
        <v>333</v>
      </c>
      <c r="G5">
        <v>203</v>
      </c>
      <c r="H5">
        <v>206</v>
      </c>
      <c r="I5">
        <v>10</v>
      </c>
      <c r="J5">
        <v>10</v>
      </c>
      <c r="K5">
        <v>21.08</v>
      </c>
      <c r="L5">
        <v>0.11</v>
      </c>
    </row>
    <row r="6" spans="1:12" ht="12.75">
      <c r="A6" t="s">
        <v>76</v>
      </c>
      <c r="B6" t="s">
        <v>77</v>
      </c>
      <c r="C6">
        <v>3850</v>
      </c>
      <c r="D6">
        <v>4833</v>
      </c>
      <c r="E6">
        <v>983</v>
      </c>
      <c r="F6">
        <v>376</v>
      </c>
      <c r="G6">
        <v>234</v>
      </c>
      <c r="H6">
        <v>237</v>
      </c>
      <c r="I6">
        <v>10</v>
      </c>
      <c r="J6">
        <v>10</v>
      </c>
      <c r="K6">
        <v>24.24</v>
      </c>
      <c r="L6">
        <v>0.122</v>
      </c>
    </row>
    <row r="7" spans="3:12" ht="12.75">
      <c r="C7">
        <f aca="true" t="shared" si="0" ref="C7:L7">C6/C5*100</f>
        <v>107.00954191577654</v>
      </c>
      <c r="D7">
        <f t="shared" si="0"/>
        <v>106.99579366836396</v>
      </c>
      <c r="E7">
        <f t="shared" si="0"/>
        <v>106.96409140369967</v>
      </c>
      <c r="F7">
        <f t="shared" si="0"/>
        <v>112.91291291291292</v>
      </c>
      <c r="G7">
        <f t="shared" si="0"/>
        <v>115.27093596059113</v>
      </c>
      <c r="H7">
        <f t="shared" si="0"/>
        <v>115.04854368932038</v>
      </c>
      <c r="I7">
        <f t="shared" si="0"/>
        <v>100</v>
      </c>
      <c r="J7">
        <f t="shared" si="0"/>
        <v>100</v>
      </c>
      <c r="K7">
        <f t="shared" si="0"/>
        <v>114.99051233396584</v>
      </c>
      <c r="L7">
        <f t="shared" si="0"/>
        <v>110.9090909090909</v>
      </c>
    </row>
    <row r="8" spans="2:12" ht="12.75">
      <c r="B8">
        <v>-0.1</v>
      </c>
      <c r="C8">
        <v>3346</v>
      </c>
      <c r="D8">
        <v>4201</v>
      </c>
      <c r="E8">
        <v>855</v>
      </c>
      <c r="F8">
        <v>290</v>
      </c>
      <c r="G8">
        <v>172</v>
      </c>
      <c r="H8">
        <v>175</v>
      </c>
      <c r="I8">
        <v>11</v>
      </c>
      <c r="J8">
        <v>11</v>
      </c>
      <c r="K8">
        <v>17.92</v>
      </c>
      <c r="L8">
        <v>0.09</v>
      </c>
    </row>
    <row r="9" spans="3:12" ht="12.75">
      <c r="C9">
        <f aca="true" t="shared" si="1" ref="C9:L9">C8/C5*100</f>
        <v>93.00102006498398</v>
      </c>
      <c r="D9">
        <f t="shared" si="1"/>
        <v>93.00420633163604</v>
      </c>
      <c r="E9">
        <f t="shared" si="1"/>
        <v>93.03590859630033</v>
      </c>
      <c r="F9">
        <f t="shared" si="1"/>
        <v>87.08708708708708</v>
      </c>
      <c r="G9">
        <f t="shared" si="1"/>
        <v>84.72906403940887</v>
      </c>
      <c r="H9">
        <f t="shared" si="1"/>
        <v>84.9514563106796</v>
      </c>
      <c r="I9">
        <f t="shared" si="1"/>
        <v>110.00000000000001</v>
      </c>
      <c r="J9">
        <f t="shared" si="1"/>
        <v>110.00000000000001</v>
      </c>
      <c r="K9">
        <f t="shared" si="1"/>
        <v>85.00948766603416</v>
      </c>
      <c r="L9">
        <f t="shared" si="1"/>
        <v>81.81818181818181</v>
      </c>
    </row>
    <row r="10" spans="1:12" ht="12.75">
      <c r="A10" t="s">
        <v>78</v>
      </c>
      <c r="B10" t="s">
        <v>77</v>
      </c>
      <c r="C10">
        <v>3598</v>
      </c>
      <c r="D10">
        <v>4517</v>
      </c>
      <c r="E10">
        <v>919</v>
      </c>
      <c r="F10">
        <v>304</v>
      </c>
      <c r="G10">
        <v>179</v>
      </c>
      <c r="H10">
        <v>157</v>
      </c>
      <c r="I10">
        <v>11</v>
      </c>
      <c r="J10">
        <v>11</v>
      </c>
      <c r="K10">
        <v>16</v>
      </c>
      <c r="L10">
        <v>0.073</v>
      </c>
    </row>
    <row r="11" spans="3:12" ht="12.75">
      <c r="C11">
        <f aca="true" t="shared" si="2" ref="C11:L11">C10/C5*100</f>
        <v>100.00528099038026</v>
      </c>
      <c r="D11">
        <f t="shared" si="2"/>
        <v>100</v>
      </c>
      <c r="E11">
        <f t="shared" si="2"/>
        <v>100</v>
      </c>
      <c r="F11">
        <f t="shared" si="2"/>
        <v>91.29129129129129</v>
      </c>
      <c r="G11">
        <f t="shared" si="2"/>
        <v>88.17733990147784</v>
      </c>
      <c r="H11">
        <f t="shared" si="2"/>
        <v>76.2135922330097</v>
      </c>
      <c r="I11">
        <f t="shared" si="2"/>
        <v>110.00000000000001</v>
      </c>
      <c r="J11">
        <f t="shared" si="2"/>
        <v>110.00000000000001</v>
      </c>
      <c r="K11">
        <f t="shared" si="2"/>
        <v>75.90132827324479</v>
      </c>
      <c r="L11">
        <f t="shared" si="2"/>
        <v>66.36363636363636</v>
      </c>
    </row>
    <row r="12" spans="2:12" ht="12.75">
      <c r="B12">
        <v>-0.1</v>
      </c>
      <c r="C12">
        <v>3598</v>
      </c>
      <c r="D12">
        <v>4517</v>
      </c>
      <c r="E12">
        <v>919</v>
      </c>
      <c r="F12">
        <v>360</v>
      </c>
      <c r="G12">
        <v>227</v>
      </c>
      <c r="H12">
        <v>255</v>
      </c>
      <c r="I12">
        <v>10</v>
      </c>
      <c r="J12">
        <v>10</v>
      </c>
      <c r="K12">
        <v>26.06</v>
      </c>
      <c r="L12">
        <v>0.15</v>
      </c>
    </row>
    <row r="13" spans="3:12" ht="12.75">
      <c r="C13">
        <f aca="true" t="shared" si="3" ref="C13:L13">C12/C5*100</f>
        <v>100.00528099038026</v>
      </c>
      <c r="D13">
        <f>D12/D5*100</f>
        <v>100</v>
      </c>
      <c r="E13">
        <f t="shared" si="3"/>
        <v>100</v>
      </c>
      <c r="F13">
        <f t="shared" si="3"/>
        <v>108.10810810810811</v>
      </c>
      <c r="G13">
        <f t="shared" si="3"/>
        <v>111.82266009852218</v>
      </c>
      <c r="H13">
        <f t="shared" si="3"/>
        <v>123.78640776699028</v>
      </c>
      <c r="I13">
        <f t="shared" si="3"/>
        <v>100</v>
      </c>
      <c r="J13">
        <f t="shared" si="3"/>
        <v>100</v>
      </c>
      <c r="K13">
        <f t="shared" si="3"/>
        <v>123.62428842504744</v>
      </c>
      <c r="L13">
        <f t="shared" si="3"/>
        <v>136.36363636363635</v>
      </c>
    </row>
    <row r="14" spans="1:12" ht="12.75">
      <c r="A14" t="s">
        <v>79</v>
      </c>
      <c r="B14" t="s">
        <v>77</v>
      </c>
      <c r="C14">
        <v>3706</v>
      </c>
      <c r="D14">
        <v>4652</v>
      </c>
      <c r="E14">
        <v>946</v>
      </c>
      <c r="F14">
        <v>351</v>
      </c>
      <c r="G14">
        <v>216</v>
      </c>
      <c r="H14">
        <v>219</v>
      </c>
      <c r="I14">
        <v>10</v>
      </c>
      <c r="J14">
        <v>10</v>
      </c>
      <c r="K14">
        <v>22.43</v>
      </c>
      <c r="L14">
        <v>0.113</v>
      </c>
    </row>
    <row r="15" spans="3:12" ht="12.75">
      <c r="C15">
        <f aca="true" t="shared" si="4" ref="C15:L15">C14/C5*100</f>
        <v>103.00710710126437</v>
      </c>
      <c r="D15">
        <f t="shared" si="4"/>
        <v>102.98870932034536</v>
      </c>
      <c r="E15">
        <f t="shared" si="4"/>
        <v>102.9379760609358</v>
      </c>
      <c r="F15">
        <f t="shared" si="4"/>
        <v>105.40540540540539</v>
      </c>
      <c r="G15">
        <f t="shared" si="4"/>
        <v>106.40394088669952</v>
      </c>
      <c r="H15">
        <f t="shared" si="4"/>
        <v>106.31067961165049</v>
      </c>
      <c r="I15">
        <f t="shared" si="4"/>
        <v>100</v>
      </c>
      <c r="J15">
        <f t="shared" si="4"/>
        <v>100</v>
      </c>
      <c r="K15">
        <f t="shared" si="4"/>
        <v>106.40417457305504</v>
      </c>
      <c r="L15">
        <f t="shared" si="4"/>
        <v>102.72727272727273</v>
      </c>
    </row>
    <row r="16" spans="2:12" ht="12.75">
      <c r="B16">
        <v>-0.1</v>
      </c>
      <c r="C16">
        <v>3489.86</v>
      </c>
      <c r="D16">
        <v>4381</v>
      </c>
      <c r="E16">
        <v>891</v>
      </c>
      <c r="F16">
        <v>314</v>
      </c>
      <c r="G16">
        <v>190</v>
      </c>
      <c r="H16">
        <v>193</v>
      </c>
      <c r="I16">
        <v>10</v>
      </c>
      <c r="J16">
        <v>10</v>
      </c>
      <c r="K16">
        <v>19.72</v>
      </c>
      <c r="L16">
        <v>0.099</v>
      </c>
    </row>
    <row r="17" spans="3:12" ht="12.75">
      <c r="C17">
        <f aca="true" t="shared" si="5" ref="C17:L17">C16/C5*100</f>
        <v>96.99956362342648</v>
      </c>
      <c r="D17">
        <f t="shared" si="5"/>
        <v>96.98915209209652</v>
      </c>
      <c r="E17">
        <f t="shared" si="5"/>
        <v>96.95321001088139</v>
      </c>
      <c r="F17">
        <f t="shared" si="5"/>
        <v>94.29429429429429</v>
      </c>
      <c r="G17">
        <f t="shared" si="5"/>
        <v>93.59605911330048</v>
      </c>
      <c r="H17">
        <f t="shared" si="5"/>
        <v>93.68932038834951</v>
      </c>
      <c r="I17">
        <f t="shared" si="5"/>
        <v>100</v>
      </c>
      <c r="J17">
        <f t="shared" si="5"/>
        <v>100</v>
      </c>
      <c r="K17">
        <f t="shared" si="5"/>
        <v>93.5483870967742</v>
      </c>
      <c r="L17">
        <f t="shared" si="5"/>
        <v>90</v>
      </c>
    </row>
    <row r="18" spans="1:12" ht="12.75">
      <c r="A18" t="s">
        <v>80</v>
      </c>
      <c r="B18" t="s">
        <v>77</v>
      </c>
      <c r="C18">
        <v>3849.64</v>
      </c>
      <c r="D18">
        <v>4832.74</v>
      </c>
      <c r="E18">
        <v>983.1</v>
      </c>
      <c r="F18">
        <v>375.78</v>
      </c>
      <c r="G18">
        <v>233.64</v>
      </c>
      <c r="H18">
        <v>236.72</v>
      </c>
      <c r="I18">
        <v>10</v>
      </c>
      <c r="J18">
        <v>10</v>
      </c>
      <c r="K18">
        <v>24.24</v>
      </c>
      <c r="L18">
        <v>0.12</v>
      </c>
    </row>
    <row r="19" spans="3:12" ht="12.75">
      <c r="C19">
        <f aca="true" t="shared" si="6" ref="C19:L19">C18/C5*100</f>
        <v>106.99953582874026</v>
      </c>
      <c r="D19">
        <f t="shared" si="6"/>
        <v>106.99003763559884</v>
      </c>
      <c r="E19">
        <f t="shared" si="6"/>
        <v>106.97497279651796</v>
      </c>
      <c r="F19">
        <f t="shared" si="6"/>
        <v>112.84684684684684</v>
      </c>
      <c r="G19">
        <f t="shared" si="6"/>
        <v>115.0935960591133</v>
      </c>
      <c r="H19">
        <f t="shared" si="6"/>
        <v>114.91262135922331</v>
      </c>
      <c r="I19">
        <f t="shared" si="6"/>
        <v>100</v>
      </c>
      <c r="J19">
        <f t="shared" si="6"/>
        <v>100</v>
      </c>
      <c r="K19">
        <f t="shared" si="6"/>
        <v>114.99051233396584</v>
      </c>
      <c r="L19">
        <f t="shared" si="6"/>
        <v>109.09090909090908</v>
      </c>
    </row>
    <row r="20" spans="2:12" ht="12.75">
      <c r="B20">
        <v>-0.1</v>
      </c>
      <c r="C20">
        <v>3345.97</v>
      </c>
      <c r="D20">
        <v>4200.45</v>
      </c>
      <c r="E20">
        <v>854.47</v>
      </c>
      <c r="F20">
        <v>289.61</v>
      </c>
      <c r="G20">
        <v>171.95</v>
      </c>
      <c r="H20">
        <v>175.03</v>
      </c>
      <c r="I20">
        <v>11</v>
      </c>
      <c r="J20">
        <v>11</v>
      </c>
      <c r="K20">
        <v>17.92</v>
      </c>
      <c r="L20">
        <v>0.09</v>
      </c>
    </row>
    <row r="21" spans="3:12" ht="12.75">
      <c r="C21">
        <f aca="true" t="shared" si="7" ref="C21:L21">C20/C5*100</f>
        <v>93.00018622439762</v>
      </c>
      <c r="D21">
        <f t="shared" si="7"/>
        <v>92.99203010847907</v>
      </c>
      <c r="E21">
        <f t="shared" si="7"/>
        <v>92.97823721436345</v>
      </c>
      <c r="F21">
        <f t="shared" si="7"/>
        <v>86.96996996996998</v>
      </c>
      <c r="G21">
        <f t="shared" si="7"/>
        <v>84.70443349753694</v>
      </c>
      <c r="H21">
        <f t="shared" si="7"/>
        <v>84.96601941747572</v>
      </c>
      <c r="I21">
        <f t="shared" si="7"/>
        <v>110.00000000000001</v>
      </c>
      <c r="J21">
        <f t="shared" si="7"/>
        <v>110.00000000000001</v>
      </c>
      <c r="K21">
        <f t="shared" si="7"/>
        <v>85.00948766603416</v>
      </c>
      <c r="L21">
        <f t="shared" si="7"/>
        <v>81.81818181818181</v>
      </c>
    </row>
    <row r="22" spans="1:12" ht="12.75">
      <c r="A22" t="s">
        <v>81</v>
      </c>
      <c r="B22" t="s">
        <v>77</v>
      </c>
      <c r="C22">
        <v>3598</v>
      </c>
      <c r="D22">
        <v>4968</v>
      </c>
      <c r="E22">
        <v>1370.44</v>
      </c>
      <c r="F22">
        <v>830.05</v>
      </c>
      <c r="G22">
        <v>559</v>
      </c>
      <c r="H22">
        <v>561.95</v>
      </c>
      <c r="I22">
        <v>8</v>
      </c>
      <c r="J22">
        <v>8</v>
      </c>
      <c r="K22">
        <v>57.5</v>
      </c>
      <c r="L22">
        <v>0.29</v>
      </c>
    </row>
    <row r="23" spans="3:12" ht="12.75">
      <c r="C23">
        <f aca="true" t="shared" si="8" ref="C23:L23">C22/C5*100</f>
        <v>100.00528099038026</v>
      </c>
      <c r="D23">
        <f t="shared" si="8"/>
        <v>109.98450298870932</v>
      </c>
      <c r="E23">
        <f t="shared" si="8"/>
        <v>149.12295973884656</v>
      </c>
      <c r="F23">
        <f t="shared" si="8"/>
        <v>249.26426426426426</v>
      </c>
      <c r="G23">
        <f t="shared" si="8"/>
        <v>275.3694581280788</v>
      </c>
      <c r="H23">
        <f t="shared" si="8"/>
        <v>272.79126213592235</v>
      </c>
      <c r="I23">
        <f t="shared" si="8"/>
        <v>80</v>
      </c>
      <c r="J23">
        <f t="shared" si="8"/>
        <v>80</v>
      </c>
      <c r="K23">
        <f t="shared" si="8"/>
        <v>272.7703984819735</v>
      </c>
      <c r="L23">
        <f t="shared" si="8"/>
        <v>263.6363636363636</v>
      </c>
    </row>
    <row r="24" spans="2:12" ht="12.75">
      <c r="B24">
        <v>-0.1</v>
      </c>
      <c r="C24">
        <v>3598</v>
      </c>
      <c r="D24">
        <v>4065</v>
      </c>
      <c r="E24">
        <v>467</v>
      </c>
      <c r="F24">
        <v>-164.7</v>
      </c>
      <c r="G24">
        <v>-153.3</v>
      </c>
      <c r="H24">
        <v>-150.2</v>
      </c>
      <c r="I24" t="s">
        <v>82</v>
      </c>
      <c r="J24" t="s">
        <v>82</v>
      </c>
      <c r="K24">
        <v>-15.38</v>
      </c>
      <c r="L24">
        <v>-0.08</v>
      </c>
    </row>
    <row r="25" spans="3:8" ht="12.75">
      <c r="C25">
        <f aca="true" t="shared" si="9" ref="C25:H25">C24/C5*100</f>
        <v>100.00528099038026</v>
      </c>
      <c r="D25">
        <f t="shared" si="9"/>
        <v>89.99335842373256</v>
      </c>
      <c r="E25">
        <f t="shared" si="9"/>
        <v>50.81610446137106</v>
      </c>
      <c r="F25">
        <f t="shared" si="9"/>
        <v>-49.45945945945945</v>
      </c>
      <c r="G25">
        <f t="shared" si="9"/>
        <v>-75.51724137931035</v>
      </c>
      <c r="H25">
        <f t="shared" si="9"/>
        <v>-72.9126213592233</v>
      </c>
    </row>
    <row r="26" spans="1:12" ht="12.75">
      <c r="A26" t="s">
        <v>83</v>
      </c>
      <c r="B26" t="s">
        <v>77</v>
      </c>
      <c r="C26">
        <v>3598</v>
      </c>
      <c r="D26">
        <v>4517</v>
      </c>
      <c r="E26">
        <v>919</v>
      </c>
      <c r="F26">
        <v>305.77</v>
      </c>
      <c r="G26">
        <v>178.83</v>
      </c>
      <c r="H26">
        <v>181.9</v>
      </c>
      <c r="I26">
        <v>11</v>
      </c>
      <c r="J26">
        <v>11</v>
      </c>
      <c r="K26">
        <v>18.62</v>
      </c>
      <c r="L26">
        <v>0.09</v>
      </c>
    </row>
    <row r="27" spans="3:12" ht="12.75">
      <c r="C27">
        <f aca="true" t="shared" si="10" ref="C27:L27">C26/C5*100</f>
        <v>100.00528099038026</v>
      </c>
      <c r="D27">
        <f t="shared" si="10"/>
        <v>100</v>
      </c>
      <c r="E27">
        <f t="shared" si="10"/>
        <v>100</v>
      </c>
      <c r="F27">
        <f t="shared" si="10"/>
        <v>91.82282282282281</v>
      </c>
      <c r="G27">
        <f t="shared" si="10"/>
        <v>88.09359605911331</v>
      </c>
      <c r="H27">
        <f t="shared" si="10"/>
        <v>88.30097087378641</v>
      </c>
      <c r="I27">
        <f t="shared" si="10"/>
        <v>110.00000000000001</v>
      </c>
      <c r="J27">
        <f t="shared" si="10"/>
        <v>110.00000000000001</v>
      </c>
      <c r="K27">
        <f t="shared" si="10"/>
        <v>88.33017077798863</v>
      </c>
      <c r="L27">
        <f t="shared" si="10"/>
        <v>81.81818181818181</v>
      </c>
    </row>
    <row r="28" spans="2:12" ht="12.75">
      <c r="B28">
        <v>-0.1</v>
      </c>
      <c r="C28">
        <v>3598</v>
      </c>
      <c r="D28">
        <v>4517</v>
      </c>
      <c r="E28">
        <v>919</v>
      </c>
      <c r="F28">
        <v>356.724</v>
      </c>
      <c r="G28">
        <v>223.87</v>
      </c>
      <c r="H28">
        <v>226.95</v>
      </c>
      <c r="I28">
        <v>10</v>
      </c>
      <c r="J28">
        <v>10</v>
      </c>
      <c r="K28">
        <v>23.24</v>
      </c>
      <c r="L28">
        <v>0.12</v>
      </c>
    </row>
    <row r="29" spans="3:12" ht="12.75">
      <c r="C29">
        <f aca="true" t="shared" si="11" ref="C29:L29">C28/C5*100</f>
        <v>100.00528099038026</v>
      </c>
      <c r="D29">
        <f t="shared" si="11"/>
        <v>100</v>
      </c>
      <c r="E29">
        <f t="shared" si="11"/>
        <v>100</v>
      </c>
      <c r="F29">
        <f t="shared" si="11"/>
        <v>107.12432432432433</v>
      </c>
      <c r="G29">
        <f t="shared" si="11"/>
        <v>110.2807881773399</v>
      </c>
      <c r="H29">
        <f t="shared" si="11"/>
        <v>110.16990291262137</v>
      </c>
      <c r="I29">
        <f t="shared" si="11"/>
        <v>100</v>
      </c>
      <c r="J29">
        <f t="shared" si="11"/>
        <v>100</v>
      </c>
      <c r="K29">
        <f t="shared" si="11"/>
        <v>110.24667931688805</v>
      </c>
      <c r="L29">
        <f t="shared" si="11"/>
        <v>109.09090909090908</v>
      </c>
    </row>
    <row r="35" ht="12.75">
      <c r="A35" t="s">
        <v>84</v>
      </c>
    </row>
    <row r="37" spans="1:12" ht="12.75">
      <c r="A37" t="s">
        <v>65</v>
      </c>
      <c r="B37" t="s">
        <v>66</v>
      </c>
      <c r="C37" t="s">
        <v>58</v>
      </c>
      <c r="D37" t="s">
        <v>67</v>
      </c>
      <c r="E37" t="s">
        <v>60</v>
      </c>
      <c r="F37" t="s">
        <v>68</v>
      </c>
      <c r="G37" t="s">
        <v>69</v>
      </c>
      <c r="H37" t="s">
        <v>70</v>
      </c>
      <c r="I37" t="s">
        <v>71</v>
      </c>
      <c r="J37" t="s">
        <v>72</v>
      </c>
      <c r="K37" t="s">
        <v>73</v>
      </c>
      <c r="L37" t="s">
        <v>49</v>
      </c>
    </row>
    <row r="38" spans="1:12" ht="12.75">
      <c r="A38" t="s">
        <v>74</v>
      </c>
      <c r="C38">
        <v>3597.81</v>
      </c>
      <c r="D38">
        <v>4517</v>
      </c>
      <c r="E38">
        <v>919</v>
      </c>
      <c r="F38">
        <v>333</v>
      </c>
      <c r="G38">
        <v>203</v>
      </c>
      <c r="H38">
        <v>206</v>
      </c>
      <c r="I38">
        <v>10</v>
      </c>
      <c r="J38">
        <v>10</v>
      </c>
      <c r="K38">
        <v>21.08</v>
      </c>
      <c r="L38">
        <v>0.11</v>
      </c>
    </row>
    <row r="40" spans="1:12" ht="12.75">
      <c r="A40" t="s">
        <v>85</v>
      </c>
      <c r="B40">
        <v>0.25</v>
      </c>
      <c r="C40">
        <v>3957.58</v>
      </c>
      <c r="D40">
        <v>5465.08</v>
      </c>
      <c r="E40">
        <v>1507.5</v>
      </c>
      <c r="F40">
        <v>986</v>
      </c>
      <c r="G40">
        <v>677</v>
      </c>
      <c r="H40">
        <v>705</v>
      </c>
      <c r="I40">
        <v>7</v>
      </c>
      <c r="J40">
        <v>7</v>
      </c>
      <c r="K40">
        <v>72.23</v>
      </c>
      <c r="L40">
        <v>0.4</v>
      </c>
    </row>
    <row r="41" spans="3:12" ht="12.75">
      <c r="C41">
        <f aca="true" t="shared" si="12" ref="C41:L41">C40/C38*100</f>
        <v>109.99969425845167</v>
      </c>
      <c r="D41">
        <f t="shared" si="12"/>
        <v>120.98915209209653</v>
      </c>
      <c r="E41">
        <f t="shared" si="12"/>
        <v>164.03699673558216</v>
      </c>
      <c r="F41">
        <f t="shared" si="12"/>
        <v>296.0960960960961</v>
      </c>
      <c r="G41">
        <f t="shared" si="12"/>
        <v>333.49753694581284</v>
      </c>
      <c r="H41">
        <f t="shared" si="12"/>
        <v>342.2330097087379</v>
      </c>
      <c r="I41">
        <f t="shared" si="12"/>
        <v>70</v>
      </c>
      <c r="J41">
        <f t="shared" si="12"/>
        <v>70</v>
      </c>
      <c r="K41">
        <f t="shared" si="12"/>
        <v>342.64705882352945</v>
      </c>
      <c r="L41">
        <f t="shared" si="12"/>
        <v>363.6363636363637</v>
      </c>
    </row>
    <row r="42" spans="1:2" ht="12.75">
      <c r="A42" t="s">
        <v>86</v>
      </c>
      <c r="B42" t="s">
        <v>77</v>
      </c>
    </row>
    <row r="43" spans="1:2" ht="12.75">
      <c r="A43" t="s">
        <v>78</v>
      </c>
      <c r="B43">
        <v>-0.1</v>
      </c>
    </row>
    <row r="44" spans="1:2" ht="12.75">
      <c r="A44" t="s">
        <v>87</v>
      </c>
      <c r="B44" t="s">
        <v>77</v>
      </c>
    </row>
    <row r="45" spans="1:2" ht="12.75">
      <c r="A45" t="s">
        <v>88</v>
      </c>
      <c r="B45" t="s">
        <v>77</v>
      </c>
    </row>
    <row r="46" spans="1:2" ht="12.75">
      <c r="A46" t="s">
        <v>81</v>
      </c>
      <c r="B46" t="s">
        <v>77</v>
      </c>
    </row>
    <row r="47" spans="1:2" ht="12.75">
      <c r="A47" t="s">
        <v>89</v>
      </c>
      <c r="B47">
        <v>-0.1</v>
      </c>
    </row>
    <row r="49" spans="1:12" ht="12.75">
      <c r="A49" t="s">
        <v>90</v>
      </c>
      <c r="B49">
        <v>0.25</v>
      </c>
      <c r="C49">
        <v>3238.03</v>
      </c>
      <c r="D49">
        <v>3658.44</v>
      </c>
      <c r="E49">
        <v>420.41</v>
      </c>
      <c r="F49">
        <v>-240.19</v>
      </c>
      <c r="G49">
        <v>-216.26</v>
      </c>
      <c r="H49">
        <v>-238.18</v>
      </c>
      <c r="I49" t="s">
        <v>91</v>
      </c>
      <c r="J49" t="s">
        <v>91</v>
      </c>
      <c r="K49">
        <v>-24.39</v>
      </c>
      <c r="L49">
        <v>-0.11</v>
      </c>
    </row>
    <row r="50" spans="3:12" ht="12.75">
      <c r="C50">
        <f aca="true" t="shared" si="13" ref="C50:H50">C49/C38*100</f>
        <v>90.00002779468622</v>
      </c>
      <c r="D50">
        <f t="shared" si="13"/>
        <v>80.99269426610583</v>
      </c>
      <c r="E50">
        <f t="shared" si="13"/>
        <v>45.74646354733406</v>
      </c>
      <c r="F50">
        <f t="shared" si="13"/>
        <v>-72.12912912912913</v>
      </c>
      <c r="G50">
        <f t="shared" si="13"/>
        <v>-106.5320197044335</v>
      </c>
      <c r="H50">
        <f t="shared" si="13"/>
        <v>-115.62135922330097</v>
      </c>
      <c r="K50">
        <f>K49/K38*100</f>
        <v>-115.70208728652753</v>
      </c>
      <c r="L50">
        <f>L49/L38*100</f>
        <v>-100</v>
      </c>
    </row>
    <row r="51" spans="1:2" ht="12.75">
      <c r="A51" t="s">
        <v>86</v>
      </c>
      <c r="B51">
        <v>-0.1</v>
      </c>
    </row>
    <row r="52" spans="1:2" ht="12.75">
      <c r="A52" t="s">
        <v>78</v>
      </c>
      <c r="B52" t="s">
        <v>77</v>
      </c>
    </row>
    <row r="53" spans="1:2" ht="12.75">
      <c r="A53" t="s">
        <v>87</v>
      </c>
      <c r="B53">
        <v>-0.1</v>
      </c>
    </row>
    <row r="54" spans="1:2" ht="12.75">
      <c r="A54" t="s">
        <v>88</v>
      </c>
      <c r="B54">
        <v>-0.1</v>
      </c>
    </row>
    <row r="55" spans="1:2" ht="12.75">
      <c r="A55" t="s">
        <v>81</v>
      </c>
      <c r="B55">
        <v>-0.1</v>
      </c>
    </row>
    <row r="56" spans="1:2" ht="12.75">
      <c r="A56" t="s">
        <v>89</v>
      </c>
      <c r="B56" t="s">
        <v>77</v>
      </c>
    </row>
    <row r="58" spans="1:12" ht="12.75">
      <c r="A58" t="s">
        <v>92</v>
      </c>
      <c r="C58">
        <f>C38*B38+C40*B40+C49*B49</f>
        <v>1798.9025000000001</v>
      </c>
      <c r="D58">
        <f>D38*B38+D40*B40+D49*B49</f>
        <v>2280.88</v>
      </c>
      <c r="E58">
        <f>E38*B38+E40*B40+E49*B49</f>
        <v>481.9775</v>
      </c>
      <c r="F58">
        <f>F38*B38+F40*B40+F49*B49</f>
        <v>186.4525</v>
      </c>
      <c r="G58">
        <f>G38*B38+G40*B40+G49*B49</f>
        <v>115.185</v>
      </c>
      <c r="H58">
        <f>H38*B38+H40*B40+H49*B49</f>
        <v>116.705</v>
      </c>
      <c r="K58">
        <f>K38*B38+K40*B40+K49*B49</f>
        <v>11.96</v>
      </c>
      <c r="L58">
        <f>L38*B38+L40*B40+L49*B49</f>
        <v>0.07250000000000001</v>
      </c>
    </row>
    <row r="59" spans="3:12" ht="12.75">
      <c r="C59">
        <f aca="true" t="shared" si="14" ref="C59:L59">C58/C38*100</f>
        <v>49.999930513284475</v>
      </c>
      <c r="D59">
        <f t="shared" si="14"/>
        <v>50.495461589550594</v>
      </c>
      <c r="E59">
        <f t="shared" si="14"/>
        <v>52.445865070729056</v>
      </c>
      <c r="F59">
        <f t="shared" si="14"/>
        <v>55.99174174174174</v>
      </c>
      <c r="G59">
        <f t="shared" si="14"/>
        <v>56.74137931034483</v>
      </c>
      <c r="H59">
        <f t="shared" si="14"/>
        <v>56.65291262135922</v>
      </c>
      <c r="I59">
        <f t="shared" si="14"/>
        <v>0</v>
      </c>
      <c r="J59">
        <f t="shared" si="14"/>
        <v>0</v>
      </c>
      <c r="K59">
        <f t="shared" si="14"/>
        <v>56.73624288425049</v>
      </c>
      <c r="L59">
        <f t="shared" si="14"/>
        <v>65.90909090909092</v>
      </c>
    </row>
    <row r="60" spans="1:11" ht="12.75">
      <c r="A60" t="s">
        <v>93</v>
      </c>
      <c r="K60">
        <f>SQRT(B38*0+B40*(K40-K38)*(K40-K38)+B49*(K49-K38)*(K49-K38))</f>
        <v>34.21930522380605</v>
      </c>
    </row>
    <row r="61" spans="1:11" ht="12.75">
      <c r="A61" t="s">
        <v>94</v>
      </c>
      <c r="K61">
        <f>K60/K38</f>
        <v>1.6233066994215397</v>
      </c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3"/>
  <sheetViews>
    <sheetView zoomScalePageLayoutView="0" workbookViewId="0" topLeftCell="A1">
      <selection activeCell="B18" sqref="B18"/>
    </sheetView>
  </sheetViews>
  <sheetFormatPr defaultColWidth="9.00390625" defaultRowHeight="12.75"/>
  <sheetData>
    <row r="2" ht="12.75">
      <c r="A2" t="s">
        <v>51</v>
      </c>
    </row>
    <row r="3" ht="12.75">
      <c r="A3" t="s">
        <v>52</v>
      </c>
    </row>
    <row r="4" spans="1:2" ht="12.75">
      <c r="A4" t="s">
        <v>53</v>
      </c>
      <c r="B4">
        <v>32.14</v>
      </c>
    </row>
    <row r="5" spans="1:2" ht="12.75">
      <c r="A5" t="s">
        <v>54</v>
      </c>
      <c r="B5">
        <v>250</v>
      </c>
    </row>
    <row r="7" spans="1:7" ht="12.75">
      <c r="A7" t="s">
        <v>55</v>
      </c>
      <c r="B7" t="s">
        <v>56</v>
      </c>
      <c r="C7" t="s">
        <v>57</v>
      </c>
      <c r="D7" t="s">
        <v>58</v>
      </c>
      <c r="E7" t="s">
        <v>59</v>
      </c>
      <c r="F7" t="s">
        <v>60</v>
      </c>
      <c r="G7" t="s">
        <v>61</v>
      </c>
    </row>
    <row r="8" spans="1:7" ht="12.75">
      <c r="A8">
        <v>0</v>
      </c>
      <c r="B8">
        <f>B4</f>
        <v>32.14</v>
      </c>
      <c r="C8">
        <f>$B$5*A8</f>
        <v>0</v>
      </c>
      <c r="D8">
        <f>B8+C8</f>
        <v>32.14</v>
      </c>
      <c r="E8">
        <f>A8*1123</f>
        <v>0</v>
      </c>
      <c r="F8">
        <f>E8-D8</f>
        <v>-32.14</v>
      </c>
      <c r="G8">
        <f>F8/D8*100</f>
        <v>-100</v>
      </c>
    </row>
    <row r="9" spans="1:7" ht="12.75">
      <c r="A9">
        <f>B4/(446-B5)*1000000</f>
        <v>163979.59183673467</v>
      </c>
      <c r="B9">
        <f>B4</f>
        <v>32.14</v>
      </c>
      <c r="C9">
        <f>$B$5*A9/1000000</f>
        <v>40.99489795918367</v>
      </c>
      <c r="D9">
        <f>B9+C9</f>
        <v>73.13489795918366</v>
      </c>
      <c r="E9">
        <f>A9*446/1000000</f>
        <v>73.13489795918366</v>
      </c>
      <c r="F9">
        <f>E9-D9</f>
        <v>0</v>
      </c>
      <c r="G9">
        <f>F9/D9*100</f>
        <v>0</v>
      </c>
    </row>
    <row r="10" spans="1:7" ht="12.75">
      <c r="A10">
        <v>300000</v>
      </c>
      <c r="B10">
        <f>B4</f>
        <v>32.14</v>
      </c>
      <c r="C10">
        <f>$B$5*A10/1000000</f>
        <v>75</v>
      </c>
      <c r="D10">
        <f>B10+C10</f>
        <v>107.14</v>
      </c>
      <c r="E10">
        <f>A10*446/1000000</f>
        <v>133.8</v>
      </c>
      <c r="F10">
        <f>E10-D10</f>
        <v>26.66000000000001</v>
      </c>
      <c r="G10">
        <f>F10/D10*100</f>
        <v>24.883330222139264</v>
      </c>
    </row>
    <row r="14" ht="15.75">
      <c r="B14" s="1"/>
    </row>
    <row r="15" ht="15.75">
      <c r="B15" s="1"/>
    </row>
    <row r="16" ht="15.75">
      <c r="B16" s="1"/>
    </row>
    <row r="17" ht="15.75">
      <c r="B17" s="1"/>
    </row>
    <row r="18" ht="15.75">
      <c r="B18" s="1"/>
    </row>
    <row r="39" ht="12.75">
      <c r="A39" t="s">
        <v>62</v>
      </c>
    </row>
    <row r="40" ht="12.75">
      <c r="A40" t="s">
        <v>52</v>
      </c>
    </row>
    <row r="41" spans="1:2" ht="12.75">
      <c r="A41" t="s">
        <v>53</v>
      </c>
      <c r="B41">
        <v>19.29</v>
      </c>
    </row>
    <row r="42" spans="1:2" ht="12.75">
      <c r="A42" t="s">
        <v>54</v>
      </c>
      <c r="B42">
        <v>450</v>
      </c>
    </row>
    <row r="44" spans="1:7" ht="12.75">
      <c r="A44" t="s">
        <v>55</v>
      </c>
      <c r="B44" t="s">
        <v>56</v>
      </c>
      <c r="C44" t="s">
        <v>57</v>
      </c>
      <c r="D44" t="s">
        <v>58</v>
      </c>
      <c r="E44" t="s">
        <v>59</v>
      </c>
      <c r="F44" t="s">
        <v>60</v>
      </c>
      <c r="G44" t="s">
        <v>61</v>
      </c>
    </row>
    <row r="45" spans="1:7" ht="12.75">
      <c r="A45">
        <v>0</v>
      </c>
      <c r="B45">
        <f>B41</f>
        <v>19.29</v>
      </c>
      <c r="C45">
        <f>$B$5*A45</f>
        <v>0</v>
      </c>
      <c r="D45">
        <f>B45+C45</f>
        <v>19.29</v>
      </c>
      <c r="E45">
        <f>A45*1800</f>
        <v>0</v>
      </c>
      <c r="F45">
        <f>E45-D45</f>
        <v>-19.29</v>
      </c>
      <c r="G45">
        <f>F45/D45*100</f>
        <v>-100</v>
      </c>
    </row>
    <row r="46" spans="1:7" ht="12.75">
      <c r="A46">
        <f>B41/(771-B42)*1000000</f>
        <v>60093.457943925234</v>
      </c>
      <c r="B46">
        <f>B41</f>
        <v>19.29</v>
      </c>
      <c r="C46">
        <f>$B$42*A46/1000000</f>
        <v>27.042056074766357</v>
      </c>
      <c r="D46">
        <f>B46+C46</f>
        <v>46.332056074766356</v>
      </c>
      <c r="E46">
        <f>A46*771/1000000</f>
        <v>46.33205607476635</v>
      </c>
      <c r="F46">
        <f>E46-D46</f>
        <v>0</v>
      </c>
      <c r="G46">
        <f>F46/D46*100</f>
        <v>0</v>
      </c>
    </row>
    <row r="47" spans="1:7" ht="12.75">
      <c r="A47">
        <v>100000</v>
      </c>
      <c r="B47">
        <f>B41</f>
        <v>19.29</v>
      </c>
      <c r="C47">
        <f>$B$42*A47/1000000</f>
        <v>45</v>
      </c>
      <c r="D47">
        <f>B47+C47</f>
        <v>64.28999999999999</v>
      </c>
      <c r="E47">
        <f>A47*771/1000000</f>
        <v>77.1</v>
      </c>
      <c r="F47">
        <f>E47-D47</f>
        <v>12.810000000000002</v>
      </c>
      <c r="G47">
        <f>F47/D47*100</f>
        <v>19.925338310779285</v>
      </c>
    </row>
    <row r="75" ht="12.75">
      <c r="A75" t="s">
        <v>63</v>
      </c>
    </row>
    <row r="76" ht="12.75">
      <c r="A76" t="s">
        <v>52</v>
      </c>
    </row>
    <row r="77" spans="1:2" ht="12.75">
      <c r="A77" t="s">
        <v>53</v>
      </c>
      <c r="B77">
        <v>27.87</v>
      </c>
    </row>
    <row r="78" spans="1:2" ht="12.75">
      <c r="A78" t="s">
        <v>54</v>
      </c>
      <c r="B78">
        <v>433</v>
      </c>
    </row>
    <row r="80" spans="1:7" ht="12.75">
      <c r="A80" t="s">
        <v>55</v>
      </c>
      <c r="B80" t="s">
        <v>56</v>
      </c>
      <c r="C80" t="s">
        <v>57</v>
      </c>
      <c r="D80" t="s">
        <v>58</v>
      </c>
      <c r="E80" t="s">
        <v>59</v>
      </c>
      <c r="F80" t="s">
        <v>60</v>
      </c>
      <c r="G80" t="s">
        <v>61</v>
      </c>
    </row>
    <row r="81" spans="1:7" ht="12.75">
      <c r="A81">
        <v>0</v>
      </c>
      <c r="B81">
        <f>B77</f>
        <v>27.87</v>
      </c>
      <c r="C81">
        <f>$B$5*A81</f>
        <v>0</v>
      </c>
      <c r="D81">
        <f>B81+C81</f>
        <v>27.87</v>
      </c>
      <c r="E81">
        <f>A81*2591</f>
        <v>0</v>
      </c>
      <c r="F81">
        <f>E81-D81</f>
        <v>-27.87</v>
      </c>
      <c r="G81">
        <f>F81/D81*100</f>
        <v>-100</v>
      </c>
    </row>
    <row r="82" spans="1:7" ht="12.75">
      <c r="A82">
        <f>B77/(805-B78)*1000000</f>
        <v>74919.35483870968</v>
      </c>
      <c r="B82">
        <f>B77</f>
        <v>27.87</v>
      </c>
      <c r="C82">
        <f>$B$78*A82/1000000</f>
        <v>32.440080645161295</v>
      </c>
      <c r="D82">
        <f>B82+C82</f>
        <v>60.31008064516129</v>
      </c>
      <c r="E82">
        <f>A82*805/1000000</f>
        <v>60.31008064516129</v>
      </c>
      <c r="F82">
        <f>E82-D82</f>
        <v>0</v>
      </c>
      <c r="G82">
        <f>F82/D82*100</f>
        <v>0</v>
      </c>
    </row>
    <row r="83" spans="1:7" ht="12.75">
      <c r="A83">
        <v>150000</v>
      </c>
      <c r="B83">
        <f>B77</f>
        <v>27.87</v>
      </c>
      <c r="C83">
        <f>$B$78*A83/1000000</f>
        <v>64.95</v>
      </c>
      <c r="D83">
        <f>B83+C83</f>
        <v>92.82000000000001</v>
      </c>
      <c r="E83">
        <f>A83*805/1000000</f>
        <v>120.75</v>
      </c>
      <c r="F83">
        <f>E83-D83</f>
        <v>27.929999999999993</v>
      </c>
      <c r="G83">
        <f>F83/D83*100</f>
        <v>30.09049773755655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3"/>
  <sheetViews>
    <sheetView zoomScalePageLayoutView="0" workbookViewId="0" topLeftCell="A1">
      <selection activeCell="B93" sqref="B93"/>
    </sheetView>
  </sheetViews>
  <sheetFormatPr defaultColWidth="9.00390625" defaultRowHeight="12.75"/>
  <sheetData>
    <row r="2" ht="12.75">
      <c r="A2" t="s">
        <v>1</v>
      </c>
    </row>
    <row r="4" spans="1:14" ht="12.7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</row>
    <row r="5" ht="12.75">
      <c r="A5" t="s">
        <v>16</v>
      </c>
    </row>
    <row r="6" spans="1:14" ht="12.75">
      <c r="A6" t="s">
        <v>17</v>
      </c>
      <c r="B6">
        <v>0</v>
      </c>
      <c r="C6">
        <v>0</v>
      </c>
      <c r="D6">
        <v>200</v>
      </c>
      <c r="E6">
        <v>300</v>
      </c>
      <c r="F6">
        <f aca="true" t="shared" si="0" ref="F6:N6">E6</f>
        <v>300</v>
      </c>
      <c r="G6">
        <f t="shared" si="0"/>
        <v>300</v>
      </c>
      <c r="H6">
        <f t="shared" si="0"/>
        <v>300</v>
      </c>
      <c r="I6">
        <f t="shared" si="0"/>
        <v>300</v>
      </c>
      <c r="J6">
        <f t="shared" si="0"/>
        <v>300</v>
      </c>
      <c r="K6">
        <f t="shared" si="0"/>
        <v>300</v>
      </c>
      <c r="L6">
        <f t="shared" si="0"/>
        <v>300</v>
      </c>
      <c r="M6">
        <f t="shared" si="0"/>
        <v>300</v>
      </c>
      <c r="N6">
        <f t="shared" si="0"/>
        <v>300</v>
      </c>
    </row>
    <row r="7" spans="1:14" ht="12.75">
      <c r="A7" t="s">
        <v>18</v>
      </c>
      <c r="B7">
        <v>0</v>
      </c>
      <c r="C7">
        <v>0</v>
      </c>
      <c r="D7">
        <v>70</v>
      </c>
      <c r="E7">
        <v>100</v>
      </c>
      <c r="F7">
        <f aca="true" t="shared" si="1" ref="F7:N7">E7</f>
        <v>100</v>
      </c>
      <c r="G7">
        <f t="shared" si="1"/>
        <v>100</v>
      </c>
      <c r="H7">
        <f t="shared" si="1"/>
        <v>100</v>
      </c>
      <c r="I7">
        <f t="shared" si="1"/>
        <v>100</v>
      </c>
      <c r="J7">
        <f t="shared" si="1"/>
        <v>100</v>
      </c>
      <c r="K7">
        <f t="shared" si="1"/>
        <v>100</v>
      </c>
      <c r="L7">
        <f t="shared" si="1"/>
        <v>100</v>
      </c>
      <c r="M7">
        <f t="shared" si="1"/>
        <v>100</v>
      </c>
      <c r="N7">
        <f t="shared" si="1"/>
        <v>100</v>
      </c>
    </row>
    <row r="8" spans="1:14" ht="12.75">
      <c r="A8" t="s">
        <v>19</v>
      </c>
      <c r="B8">
        <v>0</v>
      </c>
      <c r="C8">
        <v>0</v>
      </c>
      <c r="D8">
        <v>100</v>
      </c>
      <c r="E8">
        <v>150</v>
      </c>
      <c r="F8">
        <f aca="true" t="shared" si="2" ref="F8:N8">E8</f>
        <v>150</v>
      </c>
      <c r="G8">
        <f t="shared" si="2"/>
        <v>150</v>
      </c>
      <c r="H8">
        <f t="shared" si="2"/>
        <v>150</v>
      </c>
      <c r="I8">
        <f t="shared" si="2"/>
        <v>150</v>
      </c>
      <c r="J8">
        <f t="shared" si="2"/>
        <v>150</v>
      </c>
      <c r="K8">
        <f t="shared" si="2"/>
        <v>150</v>
      </c>
      <c r="L8">
        <f t="shared" si="2"/>
        <v>150</v>
      </c>
      <c r="M8">
        <f t="shared" si="2"/>
        <v>150</v>
      </c>
      <c r="N8">
        <f t="shared" si="2"/>
        <v>150</v>
      </c>
    </row>
    <row r="9" spans="1:4" ht="12.75">
      <c r="A9" t="s">
        <v>20</v>
      </c>
      <c r="B9">
        <v>100</v>
      </c>
      <c r="C9">
        <v>100</v>
      </c>
      <c r="D9">
        <v>50</v>
      </c>
    </row>
    <row r="10" spans="1:8" ht="12.75">
      <c r="A10" t="s">
        <v>21</v>
      </c>
      <c r="B10">
        <f>B9</f>
        <v>100</v>
      </c>
      <c r="C10">
        <f>B10+C9</f>
        <v>200</v>
      </c>
      <c r="D10">
        <f>C10+D9</f>
        <v>250</v>
      </c>
      <c r="E10">
        <f>D10-E48+E49</f>
        <v>208.926</v>
      </c>
      <c r="F10">
        <f>E10-F48+F49</f>
        <v>164.9768200000001</v>
      </c>
      <c r="G10">
        <f>F10-G48+G49</f>
        <v>118.17094330000008</v>
      </c>
      <c r="H10">
        <v>0</v>
      </c>
    </row>
    <row r="11" spans="1:14" ht="12.75">
      <c r="A11" t="s">
        <v>22</v>
      </c>
      <c r="F11">
        <v>1.07</v>
      </c>
      <c r="G11">
        <f aca="true" t="shared" si="3" ref="G11:N11">F11-0.005</f>
        <v>1.0650000000000002</v>
      </c>
      <c r="H11">
        <f t="shared" si="3"/>
        <v>1.0600000000000003</v>
      </c>
      <c r="I11">
        <f t="shared" si="3"/>
        <v>1.0550000000000004</v>
      </c>
      <c r="J11">
        <f t="shared" si="3"/>
        <v>1.0500000000000005</v>
      </c>
      <c r="K11">
        <f t="shared" si="3"/>
        <v>1.0450000000000006</v>
      </c>
      <c r="L11">
        <f t="shared" si="3"/>
        <v>1.0400000000000007</v>
      </c>
      <c r="M11">
        <f t="shared" si="3"/>
        <v>1.0350000000000008</v>
      </c>
      <c r="N11">
        <f t="shared" si="3"/>
        <v>1.030000000000001</v>
      </c>
    </row>
    <row r="12" ht="12.75">
      <c r="A12" t="s">
        <v>23</v>
      </c>
    </row>
    <row r="13" spans="1:14" ht="12.75">
      <c r="A13" t="s">
        <v>17</v>
      </c>
      <c r="D13">
        <f>E13*D6/E6</f>
        <v>21.426666666666666</v>
      </c>
      <c r="E13">
        <v>32.14</v>
      </c>
      <c r="F13">
        <f>E13*$F$11</f>
        <v>34.3898</v>
      </c>
      <c r="G13">
        <f>F13*$G$11</f>
        <v>36.62513700000001</v>
      </c>
      <c r="H13">
        <f>G13*$H$11</f>
        <v>38.82264522000002</v>
      </c>
      <c r="I13">
        <f>H13*$I$11</f>
        <v>40.957890707100034</v>
      </c>
      <c r="J13">
        <f>I13*$J$11</f>
        <v>43.005785242455055</v>
      </c>
      <c r="K13">
        <f>J13*$K$11</f>
        <v>44.94104557836556</v>
      </c>
      <c r="L13">
        <f>K13*$L$11</f>
        <v>46.738687401500215</v>
      </c>
      <c r="M13">
        <f>L13*$M$11</f>
        <v>48.37454146055276</v>
      </c>
      <c r="N13">
        <f>M13*$N$11</f>
        <v>49.82577770436939</v>
      </c>
    </row>
    <row r="14" spans="1:14" ht="12.75">
      <c r="A14" t="s">
        <v>18</v>
      </c>
      <c r="D14">
        <f>E14*D7/E7</f>
        <v>13.503</v>
      </c>
      <c r="E14">
        <v>19.29</v>
      </c>
      <c r="F14">
        <f>E14*$F$11</f>
        <v>20.6403</v>
      </c>
      <c r="G14">
        <f>F14*$G$11</f>
        <v>21.981919500000004</v>
      </c>
      <c r="H14">
        <f>G14*$H$11</f>
        <v>23.30083467000001</v>
      </c>
      <c r="I14">
        <f>H14*$I$11</f>
        <v>24.58238057685002</v>
      </c>
      <c r="J14">
        <f>I14*$J$11</f>
        <v>25.811499605692532</v>
      </c>
      <c r="K14">
        <f>J14*$K$11</f>
        <v>26.973017087948712</v>
      </c>
      <c r="L14">
        <f>K14*$L$11</f>
        <v>28.05193777146668</v>
      </c>
      <c r="M14">
        <f>L14*$M$11</f>
        <v>29.033755593468037</v>
      </c>
      <c r="N14">
        <f>M14*$N$11</f>
        <v>29.904768261272103</v>
      </c>
    </row>
    <row r="15" spans="1:14" ht="12.75">
      <c r="A15" t="s">
        <v>19</v>
      </c>
      <c r="D15">
        <f>E15*D8/E8</f>
        <v>18.58</v>
      </c>
      <c r="E15">
        <v>27.87</v>
      </c>
      <c r="F15">
        <f>E15*$F$11</f>
        <v>29.8209</v>
      </c>
      <c r="G15">
        <f>F15*$G$11</f>
        <v>31.75925850000001</v>
      </c>
      <c r="H15">
        <f>G15*$H$11</f>
        <v>33.664814010000015</v>
      </c>
      <c r="I15">
        <f>H15*$I$11</f>
        <v>35.51637878055003</v>
      </c>
      <c r="J15">
        <f>I15*$J$11</f>
        <v>37.292197719577544</v>
      </c>
      <c r="K15">
        <f>J15*$K$11</f>
        <v>38.97034661695856</v>
      </c>
      <c r="L15">
        <f>K15*$L$11</f>
        <v>40.52916048163693</v>
      </c>
      <c r="M15">
        <f>L15*$M$11</f>
        <v>41.94768109849426</v>
      </c>
      <c r="N15">
        <f>M15*$N$11</f>
        <v>43.206111531449125</v>
      </c>
    </row>
    <row r="16" ht="12.75">
      <c r="A16" t="s">
        <v>24</v>
      </c>
    </row>
    <row r="17" spans="1:14" ht="12.75">
      <c r="A17" t="s">
        <v>17</v>
      </c>
      <c r="D17">
        <f>E17*D6/E6</f>
        <v>50</v>
      </c>
      <c r="E17">
        <f>75</f>
        <v>75</v>
      </c>
      <c r="F17">
        <f>E17*$F$11</f>
        <v>80.25</v>
      </c>
      <c r="G17">
        <f>F17*$G$11</f>
        <v>85.46625000000002</v>
      </c>
      <c r="H17">
        <f>G17*$H$11</f>
        <v>90.59422500000004</v>
      </c>
      <c r="I17">
        <f>H17*$I$11</f>
        <v>95.57690737500008</v>
      </c>
      <c r="J17">
        <f>I17*$J$11</f>
        <v>100.35575274375013</v>
      </c>
      <c r="K17">
        <f>J17*$K$11</f>
        <v>104.87176161721895</v>
      </c>
      <c r="L17">
        <f>K17*$L$11</f>
        <v>109.06663208190778</v>
      </c>
      <c r="M17">
        <f>L17*$M$11</f>
        <v>112.88396420477464</v>
      </c>
      <c r="N17">
        <f>M17*$N$11</f>
        <v>116.27048313091798</v>
      </c>
    </row>
    <row r="18" spans="1:14" ht="12.75">
      <c r="A18" t="s">
        <v>18</v>
      </c>
      <c r="D18">
        <f>E18*D7/E7</f>
        <v>31.5</v>
      </c>
      <c r="E18">
        <f>45</f>
        <v>45</v>
      </c>
      <c r="F18">
        <f>E18*$F$11</f>
        <v>48.150000000000006</v>
      </c>
      <c r="G18">
        <f>F18*$G$11</f>
        <v>51.279750000000014</v>
      </c>
      <c r="H18">
        <f>G18*$H$11</f>
        <v>54.35653500000003</v>
      </c>
      <c r="I18">
        <f>H18*$I$11</f>
        <v>57.34614442500005</v>
      </c>
      <c r="J18">
        <f>I18*$J$11</f>
        <v>60.21345164625008</v>
      </c>
      <c r="K18">
        <f>J18*$K$11</f>
        <v>62.923056970331366</v>
      </c>
      <c r="L18">
        <f>K18*$L$11</f>
        <v>65.43997924914467</v>
      </c>
      <c r="M18">
        <f>L18*$M$11</f>
        <v>67.73037852286478</v>
      </c>
      <c r="N18">
        <f>M18*$N$11</f>
        <v>69.76228987855079</v>
      </c>
    </row>
    <row r="19" spans="1:14" ht="12.75">
      <c r="A19" t="s">
        <v>19</v>
      </c>
      <c r="D19">
        <f>E19*D8/E8</f>
        <v>43.333333333333336</v>
      </c>
      <c r="E19">
        <f>65</f>
        <v>65</v>
      </c>
      <c r="F19">
        <f>E19*$F$11</f>
        <v>69.55</v>
      </c>
      <c r="G19">
        <f>F19*$G$11</f>
        <v>74.07075</v>
      </c>
      <c r="H19">
        <f>G19*$H$11</f>
        <v>78.51499500000003</v>
      </c>
      <c r="I19">
        <f>H19*$I$11</f>
        <v>82.83331972500005</v>
      </c>
      <c r="J19">
        <f>I19*$J$11</f>
        <v>86.9749857112501</v>
      </c>
      <c r="K19">
        <f>J19*$K$11</f>
        <v>90.8888600682564</v>
      </c>
      <c r="L19">
        <f>K19*$L$11</f>
        <v>94.52441447098673</v>
      </c>
      <c r="M19">
        <f>L19*$M$11</f>
        <v>97.83276897747133</v>
      </c>
      <c r="N19">
        <f>M19*$N$11</f>
        <v>100.76775204679556</v>
      </c>
    </row>
    <row r="20" ht="12.75">
      <c r="A20" t="s">
        <v>25</v>
      </c>
    </row>
    <row r="21" spans="1:14" ht="12.75">
      <c r="A21" t="s">
        <v>17</v>
      </c>
      <c r="D21">
        <f aca="true" t="shared" si="4" ref="D21:N21">D17*1000/D6</f>
        <v>250</v>
      </c>
      <c r="E21">
        <f t="shared" si="4"/>
        <v>250</v>
      </c>
      <c r="F21">
        <f t="shared" si="4"/>
        <v>267.5</v>
      </c>
      <c r="G21">
        <f t="shared" si="4"/>
        <v>284.88750000000005</v>
      </c>
      <c r="H21">
        <f t="shared" si="4"/>
        <v>301.9807500000001</v>
      </c>
      <c r="I21">
        <f t="shared" si="4"/>
        <v>318.58969125000027</v>
      </c>
      <c r="J21">
        <f t="shared" si="4"/>
        <v>334.5191758125004</v>
      </c>
      <c r="K21">
        <f t="shared" si="4"/>
        <v>349.5725387240631</v>
      </c>
      <c r="L21">
        <f t="shared" si="4"/>
        <v>363.5554402730259</v>
      </c>
      <c r="M21">
        <f t="shared" si="4"/>
        <v>376.27988068258213</v>
      </c>
      <c r="N21">
        <f t="shared" si="4"/>
        <v>387.5682771030599</v>
      </c>
    </row>
    <row r="22" spans="1:14" ht="12.75">
      <c r="A22" t="s">
        <v>18</v>
      </c>
      <c r="D22">
        <f aca="true" t="shared" si="5" ref="D22:N22">D18*1000/D7</f>
        <v>450</v>
      </c>
      <c r="E22">
        <f t="shared" si="5"/>
        <v>450</v>
      </c>
      <c r="F22">
        <f t="shared" si="5"/>
        <v>481.50000000000006</v>
      </c>
      <c r="G22">
        <f t="shared" si="5"/>
        <v>512.7975000000001</v>
      </c>
      <c r="H22">
        <f t="shared" si="5"/>
        <v>543.5653500000003</v>
      </c>
      <c r="I22">
        <f t="shared" si="5"/>
        <v>573.4614442500005</v>
      </c>
      <c r="J22">
        <f t="shared" si="5"/>
        <v>602.1345164625008</v>
      </c>
      <c r="K22">
        <f t="shared" si="5"/>
        <v>629.2305697033137</v>
      </c>
      <c r="L22">
        <f t="shared" si="5"/>
        <v>654.3997924914468</v>
      </c>
      <c r="M22">
        <f t="shared" si="5"/>
        <v>677.3037852286477</v>
      </c>
      <c r="N22">
        <f t="shared" si="5"/>
        <v>697.6228987855079</v>
      </c>
    </row>
    <row r="23" spans="1:14" ht="12.75">
      <c r="A23" t="s">
        <v>19</v>
      </c>
      <c r="D23">
        <f aca="true" t="shared" si="6" ref="D23:N23">D19*1000/D8</f>
        <v>433.33333333333337</v>
      </c>
      <c r="E23">
        <f t="shared" si="6"/>
        <v>433.3333333333333</v>
      </c>
      <c r="F23">
        <f t="shared" si="6"/>
        <v>463.6666666666667</v>
      </c>
      <c r="G23">
        <f t="shared" si="6"/>
        <v>493.805</v>
      </c>
      <c r="H23">
        <f t="shared" si="6"/>
        <v>523.4333000000001</v>
      </c>
      <c r="I23">
        <f t="shared" si="6"/>
        <v>552.2221315000004</v>
      </c>
      <c r="J23">
        <f t="shared" si="6"/>
        <v>579.8332380750007</v>
      </c>
      <c r="K23">
        <f t="shared" si="6"/>
        <v>605.925733788376</v>
      </c>
      <c r="L23">
        <f t="shared" si="6"/>
        <v>630.1627631399115</v>
      </c>
      <c r="M23">
        <f t="shared" si="6"/>
        <v>652.2184598498089</v>
      </c>
      <c r="N23">
        <f t="shared" si="6"/>
        <v>671.7850136453037</v>
      </c>
    </row>
    <row r="24" ht="12.75">
      <c r="A24" t="s">
        <v>26</v>
      </c>
    </row>
    <row r="25" spans="1:14" ht="12.75">
      <c r="A25" t="s">
        <v>17</v>
      </c>
      <c r="D25">
        <f aca="true" t="shared" si="7" ref="D25:N25">D13+D17</f>
        <v>71.42666666666666</v>
      </c>
      <c r="E25">
        <f t="shared" si="7"/>
        <v>107.14</v>
      </c>
      <c r="F25">
        <f t="shared" si="7"/>
        <v>114.63980000000001</v>
      </c>
      <c r="G25">
        <f t="shared" si="7"/>
        <v>122.09138700000003</v>
      </c>
      <c r="H25">
        <f t="shared" si="7"/>
        <v>129.41687022000005</v>
      </c>
      <c r="I25">
        <f t="shared" si="7"/>
        <v>136.5347980821001</v>
      </c>
      <c r="J25">
        <f t="shared" si="7"/>
        <v>143.36153798620518</v>
      </c>
      <c r="K25">
        <f t="shared" si="7"/>
        <v>149.81280719558453</v>
      </c>
      <c r="L25">
        <f t="shared" si="7"/>
        <v>155.805319483408</v>
      </c>
      <c r="M25">
        <f t="shared" si="7"/>
        <v>161.2585056653274</v>
      </c>
      <c r="N25">
        <f t="shared" si="7"/>
        <v>166.09626083528738</v>
      </c>
    </row>
    <row r="26" spans="1:14" ht="12.75">
      <c r="A26" t="s">
        <v>18</v>
      </c>
      <c r="D26">
        <f aca="true" t="shared" si="8" ref="D26:N26">D14+D18</f>
        <v>45.003</v>
      </c>
      <c r="E26">
        <f t="shared" si="8"/>
        <v>64.28999999999999</v>
      </c>
      <c r="F26">
        <f t="shared" si="8"/>
        <v>68.7903</v>
      </c>
      <c r="G26">
        <f t="shared" si="8"/>
        <v>73.26166950000001</v>
      </c>
      <c r="H26">
        <f t="shared" si="8"/>
        <v>77.65736967000004</v>
      </c>
      <c r="I26">
        <f t="shared" si="8"/>
        <v>81.92852500185006</v>
      </c>
      <c r="J26">
        <f t="shared" si="8"/>
        <v>86.02495125194261</v>
      </c>
      <c r="K26">
        <f t="shared" si="8"/>
        <v>89.89607405828008</v>
      </c>
      <c r="L26">
        <f t="shared" si="8"/>
        <v>93.49191702061135</v>
      </c>
      <c r="M26">
        <f t="shared" si="8"/>
        <v>96.76413411633283</v>
      </c>
      <c r="N26">
        <f t="shared" si="8"/>
        <v>99.6670581398229</v>
      </c>
    </row>
    <row r="27" spans="1:15" ht="12.75">
      <c r="A27" t="s">
        <v>19</v>
      </c>
      <c r="D27">
        <f aca="true" t="shared" si="9" ref="D27:N27">D15+D19</f>
        <v>61.913333333333334</v>
      </c>
      <c r="E27">
        <f t="shared" si="9"/>
        <v>92.87</v>
      </c>
      <c r="F27">
        <f t="shared" si="9"/>
        <v>99.3709</v>
      </c>
      <c r="G27">
        <f t="shared" si="9"/>
        <v>105.83000850000002</v>
      </c>
      <c r="H27">
        <f t="shared" si="9"/>
        <v>112.17980901000004</v>
      </c>
      <c r="I27">
        <f t="shared" si="9"/>
        <v>118.34969850555008</v>
      </c>
      <c r="J27">
        <f t="shared" si="9"/>
        <v>124.26718343082764</v>
      </c>
      <c r="K27">
        <f t="shared" si="9"/>
        <v>129.85920668521496</v>
      </c>
      <c r="L27">
        <f t="shared" si="9"/>
        <v>135.05357495262365</v>
      </c>
      <c r="M27">
        <f t="shared" si="9"/>
        <v>139.78045007596558</v>
      </c>
      <c r="N27">
        <f t="shared" si="9"/>
        <v>143.97386357824467</v>
      </c>
      <c r="O27">
        <f>SUM(D25:N27)</f>
        <v>3597.806979965179</v>
      </c>
    </row>
    <row r="28" ht="12.75">
      <c r="A28" t="s">
        <v>27</v>
      </c>
    </row>
    <row r="29" spans="1:14" ht="12.75">
      <c r="A29" t="s">
        <v>17</v>
      </c>
      <c r="D29">
        <f aca="true" t="shared" si="10" ref="D29:N29">D25/(D25+D26+D27)*100</f>
        <v>40.05016550504739</v>
      </c>
      <c r="E29">
        <f t="shared" si="10"/>
        <v>40.53726825576996</v>
      </c>
      <c r="F29">
        <f t="shared" si="10"/>
        <v>40.53726825576995</v>
      </c>
      <c r="G29">
        <f t="shared" si="10"/>
        <v>40.53726825576996</v>
      </c>
      <c r="H29">
        <f t="shared" si="10"/>
        <v>40.53726825576995</v>
      </c>
      <c r="I29">
        <f t="shared" si="10"/>
        <v>40.537268255769966</v>
      </c>
      <c r="J29">
        <f t="shared" si="10"/>
        <v>40.53726825576996</v>
      </c>
      <c r="K29">
        <f t="shared" si="10"/>
        <v>40.53726825576997</v>
      </c>
      <c r="L29">
        <f t="shared" si="10"/>
        <v>40.537268255769966</v>
      </c>
      <c r="M29">
        <f t="shared" si="10"/>
        <v>40.53726825576996</v>
      </c>
      <c r="N29">
        <f t="shared" si="10"/>
        <v>40.537268255769966</v>
      </c>
    </row>
    <row r="30" spans="1:14" ht="12.75">
      <c r="A30" t="s">
        <v>18</v>
      </c>
      <c r="D30">
        <f aca="true" t="shared" si="11" ref="D30:N30">D26/(D26+D27+D25)*100</f>
        <v>25.233959280711883</v>
      </c>
      <c r="E30">
        <f t="shared" si="11"/>
        <v>24.324631101021563</v>
      </c>
      <c r="F30">
        <f t="shared" si="11"/>
        <v>24.324631101021563</v>
      </c>
      <c r="G30">
        <f t="shared" si="11"/>
        <v>24.324631101021566</v>
      </c>
      <c r="H30">
        <f t="shared" si="11"/>
        <v>24.324631101021566</v>
      </c>
      <c r="I30">
        <f t="shared" si="11"/>
        <v>24.32463110102157</v>
      </c>
      <c r="J30">
        <f t="shared" si="11"/>
        <v>24.32463110102157</v>
      </c>
      <c r="K30">
        <f t="shared" si="11"/>
        <v>24.32463110102157</v>
      </c>
      <c r="L30">
        <f t="shared" si="11"/>
        <v>24.32463110102157</v>
      </c>
      <c r="M30">
        <f t="shared" si="11"/>
        <v>24.32463110102157</v>
      </c>
      <c r="N30">
        <f t="shared" si="11"/>
        <v>24.32463110102157</v>
      </c>
    </row>
    <row r="31" spans="1:14" ht="12.75">
      <c r="A31" t="s">
        <v>19</v>
      </c>
      <c r="D31">
        <f aca="true" t="shared" si="12" ref="D31:N31">D27/(D25+D26+D27)*100</f>
        <v>34.715875214240725</v>
      </c>
      <c r="E31">
        <f t="shared" si="12"/>
        <v>35.138100643208475</v>
      </c>
      <c r="F31">
        <f t="shared" si="12"/>
        <v>35.13810064320847</v>
      </c>
      <c r="G31">
        <f t="shared" si="12"/>
        <v>35.138100643208475</v>
      </c>
      <c r="H31">
        <f t="shared" si="12"/>
        <v>35.13810064320847</v>
      </c>
      <c r="I31">
        <f t="shared" si="12"/>
        <v>35.138100643208475</v>
      </c>
      <c r="J31">
        <f t="shared" si="12"/>
        <v>35.13810064320847</v>
      </c>
      <c r="K31">
        <f t="shared" si="12"/>
        <v>35.13810064320847</v>
      </c>
      <c r="L31">
        <f t="shared" si="12"/>
        <v>35.13810064320847</v>
      </c>
      <c r="M31">
        <f t="shared" si="12"/>
        <v>35.13810064320847</v>
      </c>
      <c r="N31">
        <f t="shared" si="12"/>
        <v>35.13810064320847</v>
      </c>
    </row>
    <row r="32" ht="12.75">
      <c r="A32" t="s">
        <v>28</v>
      </c>
    </row>
    <row r="33" spans="1:14" ht="12.75">
      <c r="A33" t="s">
        <v>17</v>
      </c>
      <c r="D33">
        <f aca="true" t="shared" si="13" ref="D33:N33">D25/D6*1000</f>
        <v>357.1333333333333</v>
      </c>
      <c r="E33">
        <f t="shared" si="13"/>
        <v>357.1333333333334</v>
      </c>
      <c r="F33">
        <f t="shared" si="13"/>
        <v>382.1326666666667</v>
      </c>
      <c r="G33">
        <f t="shared" si="13"/>
        <v>406.9712900000001</v>
      </c>
      <c r="H33">
        <f t="shared" si="13"/>
        <v>431.38956740000015</v>
      </c>
      <c r="I33">
        <f t="shared" si="13"/>
        <v>455.1159936070004</v>
      </c>
      <c r="J33">
        <f t="shared" si="13"/>
        <v>477.87179328735056</v>
      </c>
      <c r="K33">
        <f t="shared" si="13"/>
        <v>499.37602398528173</v>
      </c>
      <c r="L33">
        <f t="shared" si="13"/>
        <v>519.3510649446933</v>
      </c>
      <c r="M33">
        <f t="shared" si="13"/>
        <v>537.528352217758</v>
      </c>
      <c r="N33">
        <f t="shared" si="13"/>
        <v>553.6542027842912</v>
      </c>
    </row>
    <row r="34" spans="1:14" ht="12.75">
      <c r="A34" t="s">
        <v>18</v>
      </c>
      <c r="D34">
        <f aca="true" t="shared" si="14" ref="D34:N34">D26/D7*1000</f>
        <v>642.9</v>
      </c>
      <c r="E34">
        <f t="shared" si="14"/>
        <v>642.8999999999999</v>
      </c>
      <c r="F34">
        <f t="shared" si="14"/>
        <v>687.903</v>
      </c>
      <c r="G34">
        <f t="shared" si="14"/>
        <v>732.6166950000002</v>
      </c>
      <c r="H34">
        <f t="shared" si="14"/>
        <v>776.5736967000004</v>
      </c>
      <c r="I34">
        <f t="shared" si="14"/>
        <v>819.2852500185006</v>
      </c>
      <c r="J34">
        <f t="shared" si="14"/>
        <v>860.249512519426</v>
      </c>
      <c r="K34">
        <f t="shared" si="14"/>
        <v>898.9607405828008</v>
      </c>
      <c r="L34">
        <f t="shared" si="14"/>
        <v>934.9191702061134</v>
      </c>
      <c r="M34">
        <f t="shared" si="14"/>
        <v>967.6413411633282</v>
      </c>
      <c r="N34">
        <f t="shared" si="14"/>
        <v>996.6705813982289</v>
      </c>
    </row>
    <row r="35" spans="1:14" ht="12.75">
      <c r="A35" t="s">
        <v>19</v>
      </c>
      <c r="D35">
        <f aca="true" t="shared" si="15" ref="D35:N35">D27/D8*1000</f>
        <v>619.1333333333333</v>
      </c>
      <c r="E35">
        <f t="shared" si="15"/>
        <v>619.1333333333333</v>
      </c>
      <c r="F35">
        <f t="shared" si="15"/>
        <v>662.4726666666667</v>
      </c>
      <c r="G35">
        <f t="shared" si="15"/>
        <v>705.5333900000002</v>
      </c>
      <c r="H35">
        <f t="shared" si="15"/>
        <v>747.8653934000002</v>
      </c>
      <c r="I35">
        <f t="shared" si="15"/>
        <v>788.9979900370006</v>
      </c>
      <c r="J35">
        <f t="shared" si="15"/>
        <v>828.447889538851</v>
      </c>
      <c r="K35">
        <f t="shared" si="15"/>
        <v>865.7280445680997</v>
      </c>
      <c r="L35">
        <f t="shared" si="15"/>
        <v>900.3571663508243</v>
      </c>
      <c r="M35">
        <f t="shared" si="15"/>
        <v>931.8696671731038</v>
      </c>
      <c r="N35">
        <f t="shared" si="15"/>
        <v>959.8257571882979</v>
      </c>
    </row>
    <row r="36" ht="12.75">
      <c r="A36" t="s">
        <v>29</v>
      </c>
    </row>
    <row r="37" spans="1:14" ht="12.75">
      <c r="A37" t="s">
        <v>17</v>
      </c>
      <c r="D37">
        <v>25</v>
      </c>
      <c r="E37">
        <v>25</v>
      </c>
      <c r="F37">
        <v>25</v>
      </c>
      <c r="G37">
        <v>25</v>
      </c>
      <c r="H37">
        <v>25</v>
      </c>
      <c r="I37">
        <v>25</v>
      </c>
      <c r="J37">
        <v>25</v>
      </c>
      <c r="K37">
        <v>25</v>
      </c>
      <c r="L37">
        <v>25</v>
      </c>
      <c r="M37">
        <v>25</v>
      </c>
      <c r="N37">
        <v>25</v>
      </c>
    </row>
    <row r="38" spans="1:14" ht="12.75">
      <c r="A38" t="s">
        <v>18</v>
      </c>
      <c r="D38">
        <v>20</v>
      </c>
      <c r="E38">
        <v>20</v>
      </c>
      <c r="F38">
        <v>20</v>
      </c>
      <c r="G38">
        <v>20</v>
      </c>
      <c r="H38">
        <v>20</v>
      </c>
      <c r="I38">
        <v>20</v>
      </c>
      <c r="J38">
        <v>20</v>
      </c>
      <c r="K38">
        <v>20</v>
      </c>
      <c r="L38">
        <v>20</v>
      </c>
      <c r="M38">
        <v>20</v>
      </c>
      <c r="N38">
        <v>20</v>
      </c>
    </row>
    <row r="39" spans="1:14" ht="12.75">
      <c r="A39" t="s">
        <v>19</v>
      </c>
      <c r="D39">
        <v>30</v>
      </c>
      <c r="E39">
        <v>30</v>
      </c>
      <c r="F39">
        <v>30</v>
      </c>
      <c r="G39">
        <v>30</v>
      </c>
      <c r="H39">
        <v>30</v>
      </c>
      <c r="I39">
        <v>30</v>
      </c>
      <c r="J39">
        <v>30</v>
      </c>
      <c r="K39">
        <v>30</v>
      </c>
      <c r="L39">
        <v>30</v>
      </c>
      <c r="M39">
        <v>30</v>
      </c>
      <c r="N39">
        <v>30</v>
      </c>
    </row>
    <row r="40" ht="12.75">
      <c r="A40" t="s">
        <v>30</v>
      </c>
    </row>
    <row r="41" spans="1:14" ht="12.75">
      <c r="A41" t="s">
        <v>17</v>
      </c>
      <c r="D41">
        <f aca="true" t="shared" si="16" ref="D41:N41">D33*(1+D37/100)</f>
        <v>446.41666666666663</v>
      </c>
      <c r="E41">
        <f t="shared" si="16"/>
        <v>446.41666666666674</v>
      </c>
      <c r="F41">
        <f t="shared" si="16"/>
        <v>477.66583333333335</v>
      </c>
      <c r="G41">
        <f t="shared" si="16"/>
        <v>508.71411250000017</v>
      </c>
      <c r="H41">
        <f t="shared" si="16"/>
        <v>539.2369592500002</v>
      </c>
      <c r="I41">
        <f t="shared" si="16"/>
        <v>568.8949920087505</v>
      </c>
      <c r="J41">
        <f t="shared" si="16"/>
        <v>597.3397416091882</v>
      </c>
      <c r="K41">
        <f t="shared" si="16"/>
        <v>624.2200299816021</v>
      </c>
      <c r="L41">
        <f t="shared" si="16"/>
        <v>649.1888311808667</v>
      </c>
      <c r="M41">
        <f t="shared" si="16"/>
        <v>671.9104402721974</v>
      </c>
      <c r="N41">
        <f t="shared" si="16"/>
        <v>692.067753480364</v>
      </c>
    </row>
    <row r="42" spans="1:14" ht="12.75">
      <c r="A42" t="s">
        <v>18</v>
      </c>
      <c r="D42">
        <f aca="true" t="shared" si="17" ref="D42:N42">D34*(1+D38/100)</f>
        <v>771.4799999999999</v>
      </c>
      <c r="E42">
        <f t="shared" si="17"/>
        <v>771.4799999999998</v>
      </c>
      <c r="F42">
        <f t="shared" si="17"/>
        <v>825.4836</v>
      </c>
      <c r="G42">
        <f t="shared" si="17"/>
        <v>879.1400340000001</v>
      </c>
      <c r="H42">
        <f t="shared" si="17"/>
        <v>931.8884360400004</v>
      </c>
      <c r="I42">
        <f t="shared" si="17"/>
        <v>983.1423000222007</v>
      </c>
      <c r="J42">
        <f t="shared" si="17"/>
        <v>1032.2994150233112</v>
      </c>
      <c r="K42">
        <f t="shared" si="17"/>
        <v>1078.752888699361</v>
      </c>
      <c r="L42">
        <f t="shared" si="17"/>
        <v>1121.9030042473362</v>
      </c>
      <c r="M42">
        <f t="shared" si="17"/>
        <v>1161.1696093959938</v>
      </c>
      <c r="N42">
        <f t="shared" si="17"/>
        <v>1196.0046976778747</v>
      </c>
    </row>
    <row r="43" spans="1:14" ht="12.75">
      <c r="A43" t="s">
        <v>19</v>
      </c>
      <c r="D43">
        <f aca="true" t="shared" si="18" ref="D43:N43">D35*(1+D39/100)</f>
        <v>804.8733333333333</v>
      </c>
      <c r="E43">
        <f t="shared" si="18"/>
        <v>804.8733333333333</v>
      </c>
      <c r="F43">
        <f t="shared" si="18"/>
        <v>861.2144666666667</v>
      </c>
      <c r="G43">
        <f t="shared" si="18"/>
        <v>917.1934070000002</v>
      </c>
      <c r="H43">
        <f t="shared" si="18"/>
        <v>972.2250114200003</v>
      </c>
      <c r="I43">
        <f t="shared" si="18"/>
        <v>1025.6973870481008</v>
      </c>
      <c r="J43">
        <f t="shared" si="18"/>
        <v>1076.9822564005062</v>
      </c>
      <c r="K43">
        <f t="shared" si="18"/>
        <v>1125.4464579385296</v>
      </c>
      <c r="L43">
        <f t="shared" si="18"/>
        <v>1170.4643162560717</v>
      </c>
      <c r="M43">
        <f t="shared" si="18"/>
        <v>1211.430567325035</v>
      </c>
      <c r="N43">
        <f t="shared" si="18"/>
        <v>1247.7734843447872</v>
      </c>
    </row>
    <row r="44" ht="12.75">
      <c r="A44" t="s">
        <v>31</v>
      </c>
    </row>
    <row r="45" spans="1:14" ht="12.75">
      <c r="A45" t="s">
        <v>17</v>
      </c>
      <c r="D45">
        <f aca="true" t="shared" si="19" ref="D45:N45">D41*D6/1000</f>
        <v>89.28333333333333</v>
      </c>
      <c r="E45">
        <f t="shared" si="19"/>
        <v>133.92500000000004</v>
      </c>
      <c r="F45">
        <f t="shared" si="19"/>
        <v>143.29975</v>
      </c>
      <c r="G45">
        <f t="shared" si="19"/>
        <v>152.61423375000004</v>
      </c>
      <c r="H45">
        <f t="shared" si="19"/>
        <v>161.77108777500004</v>
      </c>
      <c r="I45">
        <f t="shared" si="19"/>
        <v>170.66849760262514</v>
      </c>
      <c r="J45">
        <f t="shared" si="19"/>
        <v>179.20192248275646</v>
      </c>
      <c r="K45">
        <f t="shared" si="19"/>
        <v>187.26600899448061</v>
      </c>
      <c r="L45">
        <f t="shared" si="19"/>
        <v>194.75664935426002</v>
      </c>
      <c r="M45">
        <f t="shared" si="19"/>
        <v>201.57313208165922</v>
      </c>
      <c r="N45">
        <f t="shared" si="19"/>
        <v>207.6203260441092</v>
      </c>
    </row>
    <row r="46" spans="1:14" ht="12.75">
      <c r="A46" t="s">
        <v>18</v>
      </c>
      <c r="D46">
        <f aca="true" t="shared" si="20" ref="D46:N46">D42*D7/1000</f>
        <v>54.00359999999999</v>
      </c>
      <c r="E46">
        <f t="shared" si="20"/>
        <v>77.14799999999998</v>
      </c>
      <c r="F46">
        <f t="shared" si="20"/>
        <v>82.54836</v>
      </c>
      <c r="G46">
        <f t="shared" si="20"/>
        <v>87.91400340000001</v>
      </c>
      <c r="H46">
        <f t="shared" si="20"/>
        <v>93.18884360400004</v>
      </c>
      <c r="I46">
        <f t="shared" si="20"/>
        <v>98.31423000222009</v>
      </c>
      <c r="J46">
        <f t="shared" si="20"/>
        <v>103.22994150233112</v>
      </c>
      <c r="K46">
        <f t="shared" si="20"/>
        <v>107.87528886993609</v>
      </c>
      <c r="L46">
        <f t="shared" si="20"/>
        <v>112.19030042473362</v>
      </c>
      <c r="M46">
        <f t="shared" si="20"/>
        <v>116.11696093959938</v>
      </c>
      <c r="N46">
        <f t="shared" si="20"/>
        <v>119.60046976778746</v>
      </c>
    </row>
    <row r="47" spans="1:15" ht="12.75">
      <c r="A47" t="s">
        <v>19</v>
      </c>
      <c r="D47">
        <f aca="true" t="shared" si="21" ref="D47:N47">D43*D8/1000</f>
        <v>80.48733333333332</v>
      </c>
      <c r="E47">
        <f t="shared" si="21"/>
        <v>120.731</v>
      </c>
      <c r="F47">
        <f t="shared" si="21"/>
        <v>129.18216999999999</v>
      </c>
      <c r="G47">
        <f t="shared" si="21"/>
        <v>137.57901105000002</v>
      </c>
      <c r="H47">
        <f t="shared" si="21"/>
        <v>145.83375171300005</v>
      </c>
      <c r="I47">
        <f t="shared" si="21"/>
        <v>153.8546080572151</v>
      </c>
      <c r="J47">
        <f t="shared" si="21"/>
        <v>161.54733846007593</v>
      </c>
      <c r="K47">
        <f t="shared" si="21"/>
        <v>168.81696869077945</v>
      </c>
      <c r="L47">
        <f t="shared" si="21"/>
        <v>175.56964743841075</v>
      </c>
      <c r="M47">
        <f t="shared" si="21"/>
        <v>181.71458509875526</v>
      </c>
      <c r="N47">
        <f t="shared" si="21"/>
        <v>187.1660226517181</v>
      </c>
      <c r="O47">
        <f>SUM(D45:N47)</f>
        <v>4516.59237642212</v>
      </c>
    </row>
    <row r="48" spans="1:15" ht="12.75">
      <c r="A48" t="s">
        <v>32</v>
      </c>
      <c r="D48">
        <f aca="true" t="shared" si="22" ref="D48:N48">(D45+D46+D47)-(D25+D26+D27)</f>
        <v>45.43126666666663</v>
      </c>
      <c r="E48">
        <f t="shared" si="22"/>
        <v>67.50400000000002</v>
      </c>
      <c r="F48">
        <f t="shared" si="22"/>
        <v>72.2292799999999</v>
      </c>
      <c r="G48">
        <f t="shared" si="22"/>
        <v>76.92418320000002</v>
      </c>
      <c r="H48">
        <f t="shared" si="22"/>
        <v>81.539634192</v>
      </c>
      <c r="I48">
        <f t="shared" si="22"/>
        <v>86.02431407256006</v>
      </c>
      <c r="J48">
        <f t="shared" si="22"/>
        <v>90.32552977618809</v>
      </c>
      <c r="K48">
        <f t="shared" si="22"/>
        <v>94.3901786161166</v>
      </c>
      <c r="L48">
        <f t="shared" si="22"/>
        <v>98.16578576076142</v>
      </c>
      <c r="M48">
        <f t="shared" si="22"/>
        <v>101.60158826238802</v>
      </c>
      <c r="N48">
        <f t="shared" si="22"/>
        <v>104.6496359102598</v>
      </c>
      <c r="O48">
        <f>SUM(D48:N48)</f>
        <v>918.7853964569406</v>
      </c>
    </row>
    <row r="49" spans="1:14" ht="12.75">
      <c r="A49" t="s">
        <v>33</v>
      </c>
      <c r="D49">
        <f aca="true" t="shared" si="23" ref="D49:N49">(D25+D26+D27)/10</f>
        <v>17.8343</v>
      </c>
      <c r="E49">
        <f t="shared" si="23"/>
        <v>26.43</v>
      </c>
      <c r="F49">
        <f t="shared" si="23"/>
        <v>28.280100000000004</v>
      </c>
      <c r="G49">
        <f t="shared" si="23"/>
        <v>30.118306500000006</v>
      </c>
      <c r="H49">
        <f t="shared" si="23"/>
        <v>31.925404890000017</v>
      </c>
      <c r="I49">
        <f t="shared" si="23"/>
        <v>33.681302158950025</v>
      </c>
      <c r="J49">
        <f t="shared" si="23"/>
        <v>35.36536726689754</v>
      </c>
      <c r="K49">
        <f t="shared" si="23"/>
        <v>36.95680879390795</v>
      </c>
      <c r="L49">
        <f t="shared" si="23"/>
        <v>38.4350811456643</v>
      </c>
      <c r="M49">
        <f t="shared" si="23"/>
        <v>39.78030898576258</v>
      </c>
      <c r="N49">
        <f t="shared" si="23"/>
        <v>40.9737182553355</v>
      </c>
    </row>
    <row r="50" spans="1:14" ht="12.75">
      <c r="A50" t="s">
        <v>34</v>
      </c>
      <c r="B50">
        <f aca="true" t="shared" si="24" ref="B50:G50">B10*0.2*0.9</f>
        <v>18</v>
      </c>
      <c r="C50">
        <f t="shared" si="24"/>
        <v>36</v>
      </c>
      <c r="D50">
        <f t="shared" si="24"/>
        <v>45</v>
      </c>
      <c r="E50">
        <f t="shared" si="24"/>
        <v>37.606680000000004</v>
      </c>
      <c r="F50">
        <f t="shared" si="24"/>
        <v>29.695827600000015</v>
      </c>
      <c r="G50">
        <f t="shared" si="24"/>
        <v>21.270769794000017</v>
      </c>
      <c r="H50">
        <v>0</v>
      </c>
      <c r="I50">
        <f aca="true" t="shared" si="25" ref="I50:N50">I10*0.2</f>
        <v>0</v>
      </c>
      <c r="J50">
        <f t="shared" si="25"/>
        <v>0</v>
      </c>
      <c r="K50">
        <f t="shared" si="25"/>
        <v>0</v>
      </c>
      <c r="L50">
        <f t="shared" si="25"/>
        <v>0</v>
      </c>
      <c r="M50">
        <f t="shared" si="25"/>
        <v>0</v>
      </c>
      <c r="N50">
        <f t="shared" si="25"/>
        <v>0</v>
      </c>
    </row>
    <row r="51" spans="1:4" ht="12.75">
      <c r="A51" t="s">
        <v>35</v>
      </c>
      <c r="B51">
        <f>-(B48-B49-B50)</f>
        <v>18</v>
      </c>
      <c r="C51">
        <f>-(C48-C49-C50)+B52</f>
        <v>39.24</v>
      </c>
      <c r="D51">
        <f>-(D48-D49-D50)+C52</f>
        <v>24.46623333333337</v>
      </c>
    </row>
    <row r="52" spans="1:4" ht="12.75">
      <c r="A52" t="s">
        <v>36</v>
      </c>
      <c r="B52">
        <f>B51*0.2*0.9</f>
        <v>3.24</v>
      </c>
      <c r="C52">
        <f>C51*0.2*0.9</f>
        <v>7.063200000000001</v>
      </c>
      <c r="D52">
        <f>D51*0.2*0.9</f>
        <v>4.403922000000007</v>
      </c>
    </row>
    <row r="53" spans="1:15" ht="12.75">
      <c r="A53" t="s">
        <v>37</v>
      </c>
      <c r="B53">
        <f>-B50-B52</f>
        <v>-21.240000000000002</v>
      </c>
      <c r="C53">
        <f>-C50-C52</f>
        <v>-43.0632</v>
      </c>
      <c r="D53">
        <f aca="true" t="shared" si="26" ref="D53:N53">D48-D49-D50-D52</f>
        <v>-21.806955333333377</v>
      </c>
      <c r="E53">
        <f t="shared" si="26"/>
        <v>3.467320000000015</v>
      </c>
      <c r="F53">
        <f t="shared" si="26"/>
        <v>14.253352399999883</v>
      </c>
      <c r="G53">
        <f t="shared" si="26"/>
        <v>25.535106905999996</v>
      </c>
      <c r="H53">
        <f t="shared" si="26"/>
        <v>49.61422930199998</v>
      </c>
      <c r="I53">
        <f t="shared" si="26"/>
        <v>52.343011913610034</v>
      </c>
      <c r="J53">
        <f t="shared" si="26"/>
        <v>54.96016250929055</v>
      </c>
      <c r="K53">
        <f t="shared" si="26"/>
        <v>57.43336982220865</v>
      </c>
      <c r="L53">
        <f t="shared" si="26"/>
        <v>59.730704615097125</v>
      </c>
      <c r="M53">
        <f t="shared" si="26"/>
        <v>61.82127927662544</v>
      </c>
      <c r="N53">
        <f t="shared" si="26"/>
        <v>63.675917654924305</v>
      </c>
      <c r="O53">
        <f>SUM(B53:N53)</f>
        <v>356.7242990664226</v>
      </c>
    </row>
    <row r="54" spans="1:14" ht="12.75">
      <c r="A54" t="s">
        <v>38</v>
      </c>
      <c r="B54">
        <v>0</v>
      </c>
      <c r="C54">
        <v>0</v>
      </c>
      <c r="D54">
        <v>0</v>
      </c>
      <c r="E54">
        <f aca="true" t="shared" si="27" ref="E54:N54">E53*0.3</f>
        <v>1.0401960000000046</v>
      </c>
      <c r="F54">
        <f t="shared" si="27"/>
        <v>4.276005719999965</v>
      </c>
      <c r="G54">
        <f t="shared" si="27"/>
        <v>7.660532071799999</v>
      </c>
      <c r="H54">
        <f t="shared" si="27"/>
        <v>14.884268790599993</v>
      </c>
      <c r="I54">
        <f t="shared" si="27"/>
        <v>15.70290357408301</v>
      </c>
      <c r="J54">
        <f t="shared" si="27"/>
        <v>16.488048752787165</v>
      </c>
      <c r="K54">
        <f t="shared" si="27"/>
        <v>17.230010946662592</v>
      </c>
      <c r="L54">
        <f t="shared" si="27"/>
        <v>17.919211384529138</v>
      </c>
      <c r="M54">
        <f t="shared" si="27"/>
        <v>18.546383782987633</v>
      </c>
      <c r="N54">
        <f t="shared" si="27"/>
        <v>19.10277529647729</v>
      </c>
    </row>
    <row r="55" spans="1:15" ht="12.75">
      <c r="A55" t="s">
        <v>39</v>
      </c>
      <c r="B55">
        <f aca="true" t="shared" si="28" ref="B55:N55">B53-B54</f>
        <v>-21.240000000000002</v>
      </c>
      <c r="C55">
        <f t="shared" si="28"/>
        <v>-43.0632</v>
      </c>
      <c r="D55">
        <f t="shared" si="28"/>
        <v>-21.806955333333377</v>
      </c>
      <c r="E55">
        <f t="shared" si="28"/>
        <v>2.4271240000000107</v>
      </c>
      <c r="F55">
        <f t="shared" si="28"/>
        <v>9.977346679999918</v>
      </c>
      <c r="G55">
        <f t="shared" si="28"/>
        <v>17.874574834199997</v>
      </c>
      <c r="H55">
        <f t="shared" si="28"/>
        <v>34.72996051139998</v>
      </c>
      <c r="I55">
        <f t="shared" si="28"/>
        <v>36.640108339527025</v>
      </c>
      <c r="J55">
        <f t="shared" si="28"/>
        <v>38.47211375650338</v>
      </c>
      <c r="K55">
        <f t="shared" si="28"/>
        <v>40.20335887554606</v>
      </c>
      <c r="L55">
        <f t="shared" si="28"/>
        <v>41.81149323056799</v>
      </c>
      <c r="M55">
        <f t="shared" si="28"/>
        <v>43.27489549363781</v>
      </c>
      <c r="N55">
        <f t="shared" si="28"/>
        <v>44.573142358447015</v>
      </c>
      <c r="O55">
        <f>SUM(B55:N55)</f>
        <v>223.8739627464958</v>
      </c>
    </row>
    <row r="56" spans="1:14" ht="12.75">
      <c r="A56" t="s">
        <v>40</v>
      </c>
      <c r="C56">
        <f>0.208*3</f>
        <v>0.624</v>
      </c>
      <c r="D56">
        <f>0.208*12+1.875*5</f>
        <v>11.871</v>
      </c>
      <c r="E56">
        <f aca="true" t="shared" si="29" ref="E56:M56">0.208*12+1.875*12</f>
        <v>24.996</v>
      </c>
      <c r="F56">
        <f t="shared" si="29"/>
        <v>24.996</v>
      </c>
      <c r="G56">
        <f t="shared" si="29"/>
        <v>24.996</v>
      </c>
      <c r="H56">
        <f t="shared" si="29"/>
        <v>24.996</v>
      </c>
      <c r="I56">
        <f t="shared" si="29"/>
        <v>24.996</v>
      </c>
      <c r="J56">
        <f t="shared" si="29"/>
        <v>24.996</v>
      </c>
      <c r="K56">
        <f t="shared" si="29"/>
        <v>24.996</v>
      </c>
      <c r="L56">
        <f t="shared" si="29"/>
        <v>24.996</v>
      </c>
      <c r="M56">
        <f t="shared" si="29"/>
        <v>24.996</v>
      </c>
      <c r="N56">
        <f>1.875*7+0.208*12</f>
        <v>15.621</v>
      </c>
    </row>
    <row r="58" spans="1:14" ht="12.75">
      <c r="A58" t="s">
        <v>41</v>
      </c>
      <c r="B58">
        <f>-B9+B55</f>
        <v>-121.24000000000001</v>
      </c>
      <c r="C58">
        <f aca="true" t="shared" si="30" ref="C58:N58">-C9+C55+C56</f>
        <v>-142.4392</v>
      </c>
      <c r="D58">
        <f t="shared" si="30"/>
        <v>-59.935955333333375</v>
      </c>
      <c r="E58">
        <f t="shared" si="30"/>
        <v>27.42312400000001</v>
      </c>
      <c r="F58">
        <f t="shared" si="30"/>
        <v>34.97334667999992</v>
      </c>
      <c r="G58">
        <f t="shared" si="30"/>
        <v>42.8705748342</v>
      </c>
      <c r="H58">
        <f t="shared" si="30"/>
        <v>59.725960511399975</v>
      </c>
      <c r="I58">
        <f t="shared" si="30"/>
        <v>61.63610833952703</v>
      </c>
      <c r="J58">
        <f t="shared" si="30"/>
        <v>63.468113756503385</v>
      </c>
      <c r="K58">
        <f t="shared" si="30"/>
        <v>65.19935887554605</v>
      </c>
      <c r="L58">
        <f t="shared" si="30"/>
        <v>66.80749323056799</v>
      </c>
      <c r="M58">
        <f t="shared" si="30"/>
        <v>68.27089549363781</v>
      </c>
      <c r="N58">
        <f t="shared" si="30"/>
        <v>60.19414235844702</v>
      </c>
    </row>
    <row r="59" spans="1:14" ht="12.75">
      <c r="A59" t="s">
        <v>42</v>
      </c>
      <c r="B59">
        <f>B58</f>
        <v>-121.24000000000001</v>
      </c>
      <c r="C59">
        <f aca="true" t="shared" si="31" ref="C59:N59">C58+B59</f>
        <v>-263.67920000000004</v>
      </c>
      <c r="D59">
        <f t="shared" si="31"/>
        <v>-323.6151553333334</v>
      </c>
      <c r="E59">
        <f t="shared" si="31"/>
        <v>-296.1920313333334</v>
      </c>
      <c r="F59">
        <f t="shared" si="31"/>
        <v>-261.21868465333347</v>
      </c>
      <c r="G59">
        <f t="shared" si="31"/>
        <v>-218.34810981913347</v>
      </c>
      <c r="H59">
        <f t="shared" si="31"/>
        <v>-158.62214930773348</v>
      </c>
      <c r="I59">
        <f t="shared" si="31"/>
        <v>-96.98604096820645</v>
      </c>
      <c r="J59">
        <f t="shared" si="31"/>
        <v>-33.51792721170307</v>
      </c>
      <c r="K59">
        <f t="shared" si="31"/>
        <v>31.681431663842986</v>
      </c>
      <c r="L59">
        <f t="shared" si="31"/>
        <v>98.48892489441097</v>
      </c>
      <c r="M59">
        <f t="shared" si="31"/>
        <v>166.75982038804878</v>
      </c>
      <c r="N59">
        <f t="shared" si="31"/>
        <v>226.9539627464958</v>
      </c>
    </row>
    <row r="61" spans="1:14" ht="12.75">
      <c r="A61" t="s">
        <v>43</v>
      </c>
      <c r="B61">
        <f>1/POWER(1.2,0.5)</f>
        <v>0.9128709291752769</v>
      </c>
      <c r="C61">
        <f>1/POWER(1.2,1.5)</f>
        <v>0.7607257743127307</v>
      </c>
      <c r="D61">
        <f>1/POWER(1.2,2.5)</f>
        <v>0.633938145260609</v>
      </c>
      <c r="E61">
        <f>1/POWER(1.2,3.5)</f>
        <v>0.5282817877171742</v>
      </c>
      <c r="F61">
        <f>1/POWER(1.2,4.5)</f>
        <v>0.44023482309764517</v>
      </c>
      <c r="G61">
        <f>1/POWER(1.2,5.5)</f>
        <v>0.36686235258137107</v>
      </c>
      <c r="H61">
        <f>1/POWER(1.2,6.5)</f>
        <v>0.3057186271511425</v>
      </c>
      <c r="I61">
        <f>1/POWER(1.2,7.5)</f>
        <v>0.25476552262595203</v>
      </c>
      <c r="J61">
        <f>1/POWER(1.2,8.5)</f>
        <v>0.21230460218829345</v>
      </c>
      <c r="K61">
        <f>1/POWER(1.2,9.5)</f>
        <v>0.17692050182357785</v>
      </c>
      <c r="L61">
        <f>1/POWER(1.2,10.5)</f>
        <v>0.14743375151964822</v>
      </c>
      <c r="M61">
        <f>1/POWER(1.2,11.5)</f>
        <v>0.12286145959970685</v>
      </c>
      <c r="N61">
        <f>1/POWER(1.2,12.5)</f>
        <v>0.1023845496664224</v>
      </c>
    </row>
    <row r="62" spans="1:14" ht="12.75">
      <c r="A62" t="s">
        <v>44</v>
      </c>
      <c r="B62">
        <f aca="true" t="shared" si="32" ref="B62:N62">B58*B61</f>
        <v>-110.67647145321058</v>
      </c>
      <c r="C62">
        <f t="shared" si="32"/>
        <v>-108.35717071248591</v>
      </c>
      <c r="D62">
        <f t="shared" si="32"/>
        <v>-37.99568835843606</v>
      </c>
      <c r="E62">
        <f t="shared" si="32"/>
        <v>14.487136971509749</v>
      </c>
      <c r="F62">
        <f t="shared" si="32"/>
        <v>15.39648508880238</v>
      </c>
      <c r="G62">
        <f t="shared" si="32"/>
        <v>15.727599940190334</v>
      </c>
      <c r="H62">
        <f t="shared" si="32"/>
        <v>18.25933865282855</v>
      </c>
      <c r="I62">
        <f t="shared" si="32"/>
        <v>15.702755353749403</v>
      </c>
      <c r="J62">
        <f t="shared" si="32"/>
        <v>13.474572642715806</v>
      </c>
      <c r="K62">
        <f t="shared" si="32"/>
        <v>11.535103290837153</v>
      </c>
      <c r="L62">
        <f t="shared" si="32"/>
        <v>9.84967935660614</v>
      </c>
      <c r="M62">
        <f t="shared" si="32"/>
        <v>8.38786186852739</v>
      </c>
      <c r="N62">
        <f t="shared" si="32"/>
        <v>6.162950157926119</v>
      </c>
    </row>
    <row r="63" spans="1:14" ht="12.75">
      <c r="A63" t="s">
        <v>45</v>
      </c>
      <c r="B63">
        <f aca="true" t="shared" si="33" ref="B63:N63">B59*B61</f>
        <v>-110.67647145321058</v>
      </c>
      <c r="C63">
        <f t="shared" si="33"/>
        <v>-200.5875635901614</v>
      </c>
      <c r="D63">
        <f t="shared" si="33"/>
        <v>-205.15199135023727</v>
      </c>
      <c r="E63">
        <f t="shared" si="33"/>
        <v>-156.47285582035462</v>
      </c>
      <c r="F63">
        <f t="shared" si="33"/>
        <v>-114.99756142815981</v>
      </c>
      <c r="G63">
        <f t="shared" si="33"/>
        <v>-80.10370124994287</v>
      </c>
      <c r="H63">
        <f t="shared" si="33"/>
        <v>-48.493745722123826</v>
      </c>
      <c r="I63">
        <f t="shared" si="33"/>
        <v>-24.70869941468711</v>
      </c>
      <c r="J63">
        <f t="shared" si="33"/>
        <v>-7.1160102028567955</v>
      </c>
      <c r="K63">
        <f t="shared" si="33"/>
        <v>5.60509478845649</v>
      </c>
      <c r="L63">
        <f t="shared" si="33"/>
        <v>14.520591680319882</v>
      </c>
      <c r="M63">
        <f t="shared" si="33"/>
        <v>20.488354935460624</v>
      </c>
      <c r="N63">
        <f t="shared" si="33"/>
        <v>23.236579270809976</v>
      </c>
    </row>
    <row r="64" spans="1:4" ht="12.75">
      <c r="A64" t="s">
        <v>46</v>
      </c>
      <c r="B64">
        <f>B9*B61</f>
        <v>91.28709291752769</v>
      </c>
      <c r="C64">
        <f>C9*C61</f>
        <v>76.07257743127307</v>
      </c>
      <c r="D64">
        <f>D9*D61</f>
        <v>31.69690726303045</v>
      </c>
    </row>
    <row r="65" spans="1:4" ht="12.75">
      <c r="A65" t="s">
        <v>47</v>
      </c>
      <c r="B65">
        <f>B64</f>
        <v>91.28709291752769</v>
      </c>
      <c r="C65">
        <f>B65+C64</f>
        <v>167.35967034880076</v>
      </c>
      <c r="D65">
        <f>C65+D64</f>
        <v>199.05657761183122</v>
      </c>
    </row>
    <row r="66" spans="1:14" ht="12.75">
      <c r="A66" t="s">
        <v>48</v>
      </c>
      <c r="N66">
        <f>N63</f>
        <v>23.236579270809976</v>
      </c>
    </row>
    <row r="67" spans="1:14" ht="12.75">
      <c r="A67" t="s">
        <v>49</v>
      </c>
      <c r="N67">
        <f>N66/D65</f>
        <v>0.11673354153672978</v>
      </c>
    </row>
    <row r="68" spans="1:14" ht="12.75">
      <c r="A68" t="s">
        <v>50</v>
      </c>
      <c r="N68">
        <v>6.129</v>
      </c>
    </row>
    <row r="70" spans="1:14" ht="12.75">
      <c r="A70" t="s">
        <v>43</v>
      </c>
      <c r="B70">
        <f>1/POWER(1.15,0.5)</f>
        <v>0.9325048082403138</v>
      </c>
      <c r="C70">
        <f>1/POWER(1.15,1.5)</f>
        <v>0.8108737462959251</v>
      </c>
      <c r="D70">
        <f>1/POWER(1.15,2.5)</f>
        <v>0.7051076054747175</v>
      </c>
      <c r="E70">
        <f>1/POWER(1.15,3.5)</f>
        <v>0.6131370482388848</v>
      </c>
      <c r="F70">
        <f>1/POWER(1.15,4.5)</f>
        <v>0.5331626506425087</v>
      </c>
      <c r="G70">
        <f>1/POWER(1.15,5.5)</f>
        <v>0.4636196962108771</v>
      </c>
      <c r="H70">
        <f>1/POWER(1.15,6.5)</f>
        <v>0.40314756192250184</v>
      </c>
      <c r="I70">
        <f>1/POWER(1.15,7.5)</f>
        <v>0.35056309732391466</v>
      </c>
      <c r="J70">
        <f>1/POWER(1.15,8.5)</f>
        <v>0.30483747593383886</v>
      </c>
      <c r="K70">
        <f>1/POWER(1.15,9.5)</f>
        <v>0.26507606602942513</v>
      </c>
      <c r="L70">
        <f>1/POWER(1.15,10.5)</f>
        <v>0.23050092698210878</v>
      </c>
      <c r="M70">
        <f>1/POWER(1.15,11.5)</f>
        <v>0.20043558868009465</v>
      </c>
      <c r="N70">
        <f>1/POWER(1.15,12.5)</f>
        <v>0.17429181624356058</v>
      </c>
    </row>
    <row r="71" spans="1:14" ht="12.75">
      <c r="A71" t="s">
        <v>44</v>
      </c>
      <c r="B71">
        <f aca="true" t="shared" si="34" ref="B71:N71">B58*B70</f>
        <v>-113.05688295105566</v>
      </c>
      <c r="C71">
        <f t="shared" si="34"/>
        <v>-115.50020772339454</v>
      </c>
      <c r="D71">
        <f t="shared" si="34"/>
        <v>-42.26129794692632</v>
      </c>
      <c r="E71">
        <f t="shared" si="34"/>
        <v>16.814133302848926</v>
      </c>
      <c r="F71">
        <f t="shared" si="34"/>
        <v>18.646482217748137</v>
      </c>
      <c r="G71">
        <f t="shared" si="34"/>
        <v>19.875642881017477</v>
      </c>
      <c r="H71">
        <f t="shared" si="34"/>
        <v>24.078375363650522</v>
      </c>
      <c r="I71">
        <f t="shared" si="34"/>
        <v>21.60734504649696</v>
      </c>
      <c r="J71">
        <f t="shared" si="34"/>
        <v>19.347459599814247</v>
      </c>
      <c r="K71">
        <f t="shared" si="34"/>
        <v>17.282789558370432</v>
      </c>
      <c r="L71">
        <f t="shared" si="34"/>
        <v>15.399189118996878</v>
      </c>
      <c r="M71">
        <f t="shared" si="34"/>
        <v>13.683917127984515</v>
      </c>
      <c r="N71">
        <f t="shared" si="34"/>
        <v>10.491346398877173</v>
      </c>
    </row>
    <row r="72" spans="1:14" ht="12.75">
      <c r="A72" t="s">
        <v>45</v>
      </c>
      <c r="B72">
        <f aca="true" t="shared" si="35" ref="B72:N72">B59*B70</f>
        <v>-113.05688295105566</v>
      </c>
      <c r="C72">
        <f t="shared" si="35"/>
        <v>-213.81054072431252</v>
      </c>
      <c r="D72">
        <f t="shared" si="35"/>
        <v>-228.18350727241548</v>
      </c>
      <c r="E72">
        <f t="shared" si="35"/>
        <v>-181.60630780359932</v>
      </c>
      <c r="F72">
        <f t="shared" si="35"/>
        <v>-139.27204630712086</v>
      </c>
      <c r="G72">
        <f t="shared" si="35"/>
        <v>-101.2304843425659</v>
      </c>
      <c r="H72">
        <f t="shared" si="35"/>
        <v>-63.948132760319815</v>
      </c>
      <c r="I72">
        <f t="shared" si="35"/>
        <v>-33.99972691899853</v>
      </c>
      <c r="J72">
        <f t="shared" si="35"/>
        <v>-10.217520329749696</v>
      </c>
      <c r="K72">
        <f t="shared" si="35"/>
        <v>8.397989271631563</v>
      </c>
      <c r="L72">
        <f t="shared" si="35"/>
        <v>22.701788485633017</v>
      </c>
      <c r="M72">
        <f t="shared" si="35"/>
        <v>33.424602767665405</v>
      </c>
      <c r="N72">
        <f t="shared" si="35"/>
        <v>39.556218370760135</v>
      </c>
    </row>
    <row r="73" spans="1:4" ht="12.75">
      <c r="A73" t="s">
        <v>46</v>
      </c>
      <c r="B73">
        <f>B9*B70</f>
        <v>93.25048082403138</v>
      </c>
      <c r="C73">
        <f>C9*C70</f>
        <v>81.08737462959252</v>
      </c>
      <c r="D73">
        <f>D9*D70</f>
        <v>35.255380273735874</v>
      </c>
    </row>
    <row r="74" spans="1:4" ht="12.75">
      <c r="A74" t="s">
        <v>47</v>
      </c>
      <c r="B74">
        <f>B73</f>
        <v>93.25048082403138</v>
      </c>
      <c r="C74">
        <f>B74+C73</f>
        <v>174.3378554536239</v>
      </c>
      <c r="D74">
        <f>C74+D73</f>
        <v>209.59323572735977</v>
      </c>
    </row>
    <row r="75" spans="1:14" ht="12.75">
      <c r="A75" t="s">
        <v>48</v>
      </c>
      <c r="N75">
        <f>N72</f>
        <v>39.556218370760135</v>
      </c>
    </row>
    <row r="76" spans="1:14" ht="12.75">
      <c r="A76" t="s">
        <v>49</v>
      </c>
      <c r="N76">
        <f>N75/D74</f>
        <v>0.1887285065927181</v>
      </c>
    </row>
    <row r="77" ht="12.75">
      <c r="A77" t="s">
        <v>50</v>
      </c>
    </row>
    <row r="79" spans="1:14" ht="12.75">
      <c r="A79" t="s">
        <v>43</v>
      </c>
      <c r="B79">
        <f>1/POWER(1.25,0.5)</f>
        <v>0.8944271909999159</v>
      </c>
      <c r="C79">
        <f>1/POWER(1.25,1.5)</f>
        <v>0.7155417527999327</v>
      </c>
      <c r="D79">
        <f>1/POWER(1.25,2.5)</f>
        <v>0.5724334022399462</v>
      </c>
      <c r="E79">
        <f>1/POWER(1.25,3.5)</f>
        <v>0.4579467217919569</v>
      </c>
      <c r="F79">
        <f>1/POWER(1.25,4.5)</f>
        <v>0.36635737743356556</v>
      </c>
      <c r="G79">
        <f>1/POWER(1.25,5.5)</f>
        <v>0.29308590194685247</v>
      </c>
      <c r="H79">
        <f>1/POWER(1.25,6.5)</f>
        <v>0.2344687215574819</v>
      </c>
      <c r="I79">
        <f>1/POWER(1.25,7.5)</f>
        <v>0.18757497724598554</v>
      </c>
      <c r="J79">
        <f>1/POWER(1.25,8.5)</f>
        <v>0.15005998179678842</v>
      </c>
      <c r="K79">
        <f>1/POWER(1.25,9.5)</f>
        <v>0.12004798543743075</v>
      </c>
      <c r="L79">
        <f>1/POWER(1.25,10.5)</f>
        <v>0.09603838834994462</v>
      </c>
      <c r="M79">
        <f>1/POWER(1.25,11.5)</f>
        <v>0.0768307106799557</v>
      </c>
      <c r="N79">
        <f>1/POWER(1.25,12.5)</f>
        <v>0.06146456854396452</v>
      </c>
    </row>
    <row r="80" spans="1:14" ht="12.75">
      <c r="A80" t="s">
        <v>44</v>
      </c>
      <c r="B80">
        <f aca="true" t="shared" si="36" ref="B80:N80">B58*B79</f>
        <v>-108.4403526368298</v>
      </c>
      <c r="C80">
        <f t="shared" si="36"/>
        <v>-101.92119483542018</v>
      </c>
      <c r="D80">
        <f t="shared" si="36"/>
        <v>-34.30934282796147</v>
      </c>
      <c r="E80">
        <f t="shared" si="36"/>
        <v>12.55832973709434</v>
      </c>
      <c r="F80">
        <f t="shared" si="36"/>
        <v>12.812743569759668</v>
      </c>
      <c r="G80">
        <f t="shared" si="36"/>
        <v>12.564761092261541</v>
      </c>
      <c r="H80">
        <f t="shared" si="36"/>
        <v>14.0038696049006</v>
      </c>
      <c r="I80">
        <f t="shared" si="36"/>
        <v>11.561391619317881</v>
      </c>
      <c r="J80">
        <f t="shared" si="36"/>
        <v>9.524023994977394</v>
      </c>
      <c r="K80">
        <f t="shared" si="36"/>
        <v>7.827051684821374</v>
      </c>
      <c r="L80">
        <f t="shared" si="36"/>
        <v>6.4160839795635844</v>
      </c>
      <c r="M80">
        <f t="shared" si="36"/>
        <v>5.2453014195331775</v>
      </c>
      <c r="N80">
        <f t="shared" si="36"/>
        <v>3.699806988935925</v>
      </c>
    </row>
    <row r="81" spans="1:14" ht="12.75">
      <c r="A81" t="s">
        <v>45</v>
      </c>
      <c r="B81">
        <f aca="true" t="shared" si="37" ref="B81:N81">B59*B79</f>
        <v>-108.4403526368298</v>
      </c>
      <c r="C81">
        <f t="shared" si="37"/>
        <v>-188.67347694488404</v>
      </c>
      <c r="D81">
        <f t="shared" si="37"/>
        <v>-185.2481243838687</v>
      </c>
      <c r="E81">
        <f t="shared" si="37"/>
        <v>-135.6401697700006</v>
      </c>
      <c r="F81">
        <f t="shared" si="37"/>
        <v>-95.69939224624083</v>
      </c>
      <c r="G81">
        <f t="shared" si="37"/>
        <v>-63.99475270473113</v>
      </c>
      <c r="H81">
        <f t="shared" si="37"/>
        <v>-37.19193255888428</v>
      </c>
      <c r="I81">
        <f t="shared" si="37"/>
        <v>-18.192154427789546</v>
      </c>
      <c r="J81">
        <f t="shared" si="37"/>
        <v>-5.029699547254242</v>
      </c>
      <c r="K81">
        <f t="shared" si="37"/>
        <v>3.8032920470179805</v>
      </c>
      <c r="L81">
        <f t="shared" si="37"/>
        <v>9.45871761717797</v>
      </c>
      <c r="M81">
        <f t="shared" si="37"/>
        <v>12.812275513275553</v>
      </c>
      <c r="N81">
        <f t="shared" si="37"/>
        <v>13.94962739955636</v>
      </c>
    </row>
    <row r="82" spans="1:4" ht="12.75">
      <c r="A82" t="s">
        <v>46</v>
      </c>
      <c r="B82">
        <f>B9*B79</f>
        <v>89.44271909999159</v>
      </c>
      <c r="C82">
        <f>C9*C79</f>
        <v>71.55417527999327</v>
      </c>
      <c r="D82">
        <f>D9*D79</f>
        <v>28.62167011199731</v>
      </c>
    </row>
    <row r="83" spans="1:4" ht="12.75">
      <c r="A83" t="s">
        <v>47</v>
      </c>
      <c r="B83">
        <f>B82</f>
        <v>89.44271909999159</v>
      </c>
      <c r="C83">
        <f>B83+C82</f>
        <v>160.99689437998487</v>
      </c>
      <c r="D83">
        <f>C83+D82</f>
        <v>189.61856449198217</v>
      </c>
    </row>
    <row r="84" spans="1:14" ht="12.75">
      <c r="A84" t="s">
        <v>48</v>
      </c>
      <c r="N84">
        <f>N81</f>
        <v>13.94962739955636</v>
      </c>
    </row>
    <row r="85" spans="1:14" ht="12.75">
      <c r="A85" t="s">
        <v>49</v>
      </c>
      <c r="N85">
        <f>N84/D83</f>
        <v>0.07356678095802274</v>
      </c>
    </row>
    <row r="86" ht="12.75">
      <c r="A86" t="s">
        <v>50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94"/>
  <sheetViews>
    <sheetView zoomScalePageLayoutView="0" workbookViewId="0" topLeftCell="A61">
      <selection activeCell="B94" sqref="B94"/>
    </sheetView>
  </sheetViews>
  <sheetFormatPr defaultColWidth="9.00390625" defaultRowHeight="12.75"/>
  <sheetData>
    <row r="3" ht="12.75">
      <c r="A3" t="s">
        <v>1</v>
      </c>
    </row>
    <row r="5" spans="1:14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</row>
    <row r="6" ht="12.75">
      <c r="A6" t="s">
        <v>16</v>
      </c>
    </row>
    <row r="7" spans="1:14" ht="12.75">
      <c r="A7" t="s">
        <v>17</v>
      </c>
      <c r="B7">
        <v>0</v>
      </c>
      <c r="C7">
        <v>0</v>
      </c>
      <c r="D7">
        <v>200</v>
      </c>
      <c r="E7">
        <v>300</v>
      </c>
      <c r="F7">
        <f aca="true" t="shared" si="0" ref="F7:N7">E7</f>
        <v>300</v>
      </c>
      <c r="G7">
        <f t="shared" si="0"/>
        <v>300</v>
      </c>
      <c r="H7">
        <f t="shared" si="0"/>
        <v>300</v>
      </c>
      <c r="I7">
        <f t="shared" si="0"/>
        <v>300</v>
      </c>
      <c r="J7">
        <f t="shared" si="0"/>
        <v>300</v>
      </c>
      <c r="K7">
        <f t="shared" si="0"/>
        <v>300</v>
      </c>
      <c r="L7">
        <f t="shared" si="0"/>
        <v>300</v>
      </c>
      <c r="M7">
        <f t="shared" si="0"/>
        <v>300</v>
      </c>
      <c r="N7">
        <f t="shared" si="0"/>
        <v>300</v>
      </c>
    </row>
    <row r="8" spans="1:14" ht="12.75">
      <c r="A8" t="s">
        <v>18</v>
      </c>
      <c r="B8">
        <v>0</v>
      </c>
      <c r="C8">
        <v>0</v>
      </c>
      <c r="D8">
        <v>70</v>
      </c>
      <c r="E8">
        <v>100</v>
      </c>
      <c r="F8">
        <f aca="true" t="shared" si="1" ref="F8:N8">E8</f>
        <v>100</v>
      </c>
      <c r="G8">
        <f t="shared" si="1"/>
        <v>100</v>
      </c>
      <c r="H8">
        <f t="shared" si="1"/>
        <v>100</v>
      </c>
      <c r="I8">
        <f t="shared" si="1"/>
        <v>100</v>
      </c>
      <c r="J8">
        <f t="shared" si="1"/>
        <v>100</v>
      </c>
      <c r="K8">
        <f t="shared" si="1"/>
        <v>100</v>
      </c>
      <c r="L8">
        <f t="shared" si="1"/>
        <v>100</v>
      </c>
      <c r="M8">
        <f t="shared" si="1"/>
        <v>100</v>
      </c>
      <c r="N8">
        <f t="shared" si="1"/>
        <v>100</v>
      </c>
    </row>
    <row r="9" spans="1:14" ht="12.75">
      <c r="A9" t="s">
        <v>19</v>
      </c>
      <c r="B9">
        <v>0</v>
      </c>
      <c r="C9">
        <v>0</v>
      </c>
      <c r="D9">
        <v>100</v>
      </c>
      <c r="E9">
        <v>150</v>
      </c>
      <c r="F9">
        <f aca="true" t="shared" si="2" ref="F9:N9">E9</f>
        <v>150</v>
      </c>
      <c r="G9">
        <f t="shared" si="2"/>
        <v>150</v>
      </c>
      <c r="H9">
        <f t="shared" si="2"/>
        <v>150</v>
      </c>
      <c r="I9">
        <f t="shared" si="2"/>
        <v>150</v>
      </c>
      <c r="J9">
        <f t="shared" si="2"/>
        <v>150</v>
      </c>
      <c r="K9">
        <f t="shared" si="2"/>
        <v>150</v>
      </c>
      <c r="L9">
        <f t="shared" si="2"/>
        <v>150</v>
      </c>
      <c r="M9">
        <f t="shared" si="2"/>
        <v>150</v>
      </c>
      <c r="N9">
        <f t="shared" si="2"/>
        <v>150</v>
      </c>
    </row>
    <row r="10" spans="1:4" ht="12.75">
      <c r="A10" t="s">
        <v>20</v>
      </c>
      <c r="B10">
        <v>100</v>
      </c>
      <c r="C10">
        <v>100</v>
      </c>
      <c r="D10">
        <v>50</v>
      </c>
    </row>
    <row r="11" spans="1:8" ht="12.75">
      <c r="A11" t="s">
        <v>21</v>
      </c>
      <c r="B11">
        <f>B10</f>
        <v>100</v>
      </c>
      <c r="C11">
        <f>B11+C10</f>
        <v>200</v>
      </c>
      <c r="D11">
        <f>C11+D10</f>
        <v>250</v>
      </c>
      <c r="E11">
        <f>D11-E49+E50</f>
        <v>208.926</v>
      </c>
      <c r="F11">
        <f>E11-F49+F50</f>
        <v>164.9768200000001</v>
      </c>
      <c r="G11">
        <f>F11-G49+G50</f>
        <v>118.17094330000008</v>
      </c>
      <c r="H11">
        <v>0</v>
      </c>
    </row>
    <row r="12" spans="1:14" ht="12.75">
      <c r="A12" t="s">
        <v>22</v>
      </c>
      <c r="F12">
        <v>1.07</v>
      </c>
      <c r="G12">
        <f aca="true" t="shared" si="3" ref="G12:N12">F12-0.005</f>
        <v>1.0650000000000002</v>
      </c>
      <c r="H12">
        <f t="shared" si="3"/>
        <v>1.0600000000000003</v>
      </c>
      <c r="I12">
        <f t="shared" si="3"/>
        <v>1.0550000000000004</v>
      </c>
      <c r="J12">
        <f t="shared" si="3"/>
        <v>1.0500000000000005</v>
      </c>
      <c r="K12">
        <f t="shared" si="3"/>
        <v>1.0450000000000006</v>
      </c>
      <c r="L12">
        <f t="shared" si="3"/>
        <v>1.0400000000000007</v>
      </c>
      <c r="M12">
        <f t="shared" si="3"/>
        <v>1.0350000000000008</v>
      </c>
      <c r="N12">
        <f t="shared" si="3"/>
        <v>1.030000000000001</v>
      </c>
    </row>
    <row r="13" ht="12.75">
      <c r="A13" t="s">
        <v>23</v>
      </c>
    </row>
    <row r="14" spans="1:14" ht="12.75">
      <c r="A14" t="s">
        <v>17</v>
      </c>
      <c r="D14">
        <f>E14*D7/E7</f>
        <v>21.426666666666666</v>
      </c>
      <c r="E14">
        <v>32.14</v>
      </c>
      <c r="F14">
        <f>E14*$F$12</f>
        <v>34.3898</v>
      </c>
      <c r="G14">
        <f>F14*$G$12</f>
        <v>36.62513700000001</v>
      </c>
      <c r="H14">
        <f>G14*$H$12</f>
        <v>38.82264522000002</v>
      </c>
      <c r="I14">
        <f>H14*$I$12</f>
        <v>40.957890707100034</v>
      </c>
      <c r="J14">
        <f>I14*$J$12</f>
        <v>43.005785242455055</v>
      </c>
      <c r="K14">
        <f>J14*$K$12</f>
        <v>44.94104557836556</v>
      </c>
      <c r="L14">
        <f>K14*$L$12</f>
        <v>46.738687401500215</v>
      </c>
      <c r="M14">
        <f>L14*$M$12</f>
        <v>48.37454146055276</v>
      </c>
      <c r="N14">
        <f>M14*$N$12</f>
        <v>49.82577770436939</v>
      </c>
    </row>
    <row r="15" spans="1:14" ht="12.75">
      <c r="A15" t="s">
        <v>18</v>
      </c>
      <c r="D15">
        <f>E15*D8/E8</f>
        <v>13.503</v>
      </c>
      <c r="E15">
        <v>19.29</v>
      </c>
      <c r="F15">
        <f>E15*$F$12</f>
        <v>20.6403</v>
      </c>
      <c r="G15">
        <f>F15*$G$12</f>
        <v>21.981919500000004</v>
      </c>
      <c r="H15">
        <f>G15*$H$12</f>
        <v>23.30083467000001</v>
      </c>
      <c r="I15">
        <f>H15*$I$12</f>
        <v>24.58238057685002</v>
      </c>
      <c r="J15">
        <f>I15*$J$12</f>
        <v>25.811499605692532</v>
      </c>
      <c r="K15">
        <f>J15*$K$12</f>
        <v>26.973017087948712</v>
      </c>
      <c r="L15">
        <f>K15*$L$12</f>
        <v>28.05193777146668</v>
      </c>
      <c r="M15">
        <f>L15*$M$12</f>
        <v>29.033755593468037</v>
      </c>
      <c r="N15">
        <f>M15*$N$12</f>
        <v>29.904768261272103</v>
      </c>
    </row>
    <row r="16" spans="1:14" ht="12.75">
      <c r="A16" t="s">
        <v>19</v>
      </c>
      <c r="D16">
        <f>E16*D9/E9</f>
        <v>18.58</v>
      </c>
      <c r="E16">
        <v>27.87</v>
      </c>
      <c r="F16">
        <f>E16*$F$12</f>
        <v>29.8209</v>
      </c>
      <c r="G16">
        <f>F16*$G$12</f>
        <v>31.75925850000001</v>
      </c>
      <c r="H16">
        <f>G16*$H$12</f>
        <v>33.664814010000015</v>
      </c>
      <c r="I16">
        <f>H16*$I$12</f>
        <v>35.51637878055003</v>
      </c>
      <c r="J16">
        <f>I16*$J$12</f>
        <v>37.292197719577544</v>
      </c>
      <c r="K16">
        <f>J16*$K$12</f>
        <v>38.97034661695856</v>
      </c>
      <c r="L16">
        <f>K16*$L$12</f>
        <v>40.52916048163693</v>
      </c>
      <c r="M16">
        <f>L16*$M$12</f>
        <v>41.94768109849426</v>
      </c>
      <c r="N16">
        <f>M16*$N$12</f>
        <v>43.206111531449125</v>
      </c>
    </row>
    <row r="17" ht="12.75">
      <c r="A17" t="s">
        <v>24</v>
      </c>
    </row>
    <row r="18" spans="1:14" ht="12.75">
      <c r="A18" t="s">
        <v>17</v>
      </c>
      <c r="D18">
        <f>E18*D7/E7</f>
        <v>50</v>
      </c>
      <c r="E18">
        <f>75</f>
        <v>75</v>
      </c>
      <c r="F18">
        <f>E18*$F$12</f>
        <v>80.25</v>
      </c>
      <c r="G18">
        <f>F18*$G$12</f>
        <v>85.46625000000002</v>
      </c>
      <c r="H18">
        <f>G18*$H$12</f>
        <v>90.59422500000004</v>
      </c>
      <c r="I18">
        <f>H18*$I$12</f>
        <v>95.57690737500008</v>
      </c>
      <c r="J18">
        <f>I18*$J$12</f>
        <v>100.35575274375013</v>
      </c>
      <c r="K18">
        <f>J18*$K$12</f>
        <v>104.87176161721895</v>
      </c>
      <c r="L18">
        <f>K18*$L$12</f>
        <v>109.06663208190778</v>
      </c>
      <c r="M18">
        <f>L18*$M$12</f>
        <v>112.88396420477464</v>
      </c>
      <c r="N18">
        <f>M18*$N$12</f>
        <v>116.27048313091798</v>
      </c>
    </row>
    <row r="19" spans="1:14" ht="12.75">
      <c r="A19" t="s">
        <v>18</v>
      </c>
      <c r="D19">
        <f>E19*D8/E8</f>
        <v>31.5</v>
      </c>
      <c r="E19">
        <f>45</f>
        <v>45</v>
      </c>
      <c r="F19">
        <f>E19*$F$12</f>
        <v>48.150000000000006</v>
      </c>
      <c r="G19">
        <f>F19*$G$12</f>
        <v>51.279750000000014</v>
      </c>
      <c r="H19">
        <f>G19*$H$12</f>
        <v>54.35653500000003</v>
      </c>
      <c r="I19">
        <f>H19*$I$12</f>
        <v>57.34614442500005</v>
      </c>
      <c r="J19">
        <f>I19*$J$12</f>
        <v>60.21345164625008</v>
      </c>
      <c r="K19">
        <f>J19*$K$12</f>
        <v>62.923056970331366</v>
      </c>
      <c r="L19">
        <f>K19*$L$12</f>
        <v>65.43997924914467</v>
      </c>
      <c r="M19">
        <f>L19*$M$12</f>
        <v>67.73037852286478</v>
      </c>
      <c r="N19">
        <f>M19*$N$12</f>
        <v>69.76228987855079</v>
      </c>
    </row>
    <row r="20" spans="1:14" ht="12.75">
      <c r="A20" t="s">
        <v>19</v>
      </c>
      <c r="D20">
        <f>E20*D9/E9</f>
        <v>43.333333333333336</v>
      </c>
      <c r="E20">
        <f>65</f>
        <v>65</v>
      </c>
      <c r="F20">
        <f>E20*$F$12</f>
        <v>69.55</v>
      </c>
      <c r="G20">
        <f>F20*$G$12</f>
        <v>74.07075</v>
      </c>
      <c r="H20">
        <f>G20*$H$12</f>
        <v>78.51499500000003</v>
      </c>
      <c r="I20">
        <f>H20*$I$12</f>
        <v>82.83331972500005</v>
      </c>
      <c r="J20">
        <f>I20*$J$12</f>
        <v>86.9749857112501</v>
      </c>
      <c r="K20">
        <f>J20*$K$12</f>
        <v>90.8888600682564</v>
      </c>
      <c r="L20">
        <f>K20*$L$12</f>
        <v>94.52441447098673</v>
      </c>
      <c r="M20">
        <f>L20*$M$12</f>
        <v>97.83276897747133</v>
      </c>
      <c r="N20">
        <f>M20*$N$12</f>
        <v>100.76775204679556</v>
      </c>
    </row>
    <row r="21" ht="12.75">
      <c r="A21" t="s">
        <v>25</v>
      </c>
    </row>
    <row r="22" spans="1:14" ht="12.75">
      <c r="A22" t="s">
        <v>17</v>
      </c>
      <c r="D22">
        <f aca="true" t="shared" si="4" ref="D22:N22">D18*1000/D7</f>
        <v>250</v>
      </c>
      <c r="E22">
        <f t="shared" si="4"/>
        <v>250</v>
      </c>
      <c r="F22">
        <f t="shared" si="4"/>
        <v>267.5</v>
      </c>
      <c r="G22">
        <f t="shared" si="4"/>
        <v>284.88750000000005</v>
      </c>
      <c r="H22">
        <f t="shared" si="4"/>
        <v>301.9807500000001</v>
      </c>
      <c r="I22">
        <f t="shared" si="4"/>
        <v>318.58969125000027</v>
      </c>
      <c r="J22">
        <f t="shared" si="4"/>
        <v>334.5191758125004</v>
      </c>
      <c r="K22">
        <f t="shared" si="4"/>
        <v>349.5725387240631</v>
      </c>
      <c r="L22">
        <f t="shared" si="4"/>
        <v>363.5554402730259</v>
      </c>
      <c r="M22">
        <f t="shared" si="4"/>
        <v>376.27988068258213</v>
      </c>
      <c r="N22">
        <f t="shared" si="4"/>
        <v>387.5682771030599</v>
      </c>
    </row>
    <row r="23" spans="1:14" ht="12.75">
      <c r="A23" t="s">
        <v>18</v>
      </c>
      <c r="D23">
        <f aca="true" t="shared" si="5" ref="D23:N23">D19*1000/D8</f>
        <v>450</v>
      </c>
      <c r="E23">
        <f t="shared" si="5"/>
        <v>450</v>
      </c>
      <c r="F23">
        <f t="shared" si="5"/>
        <v>481.50000000000006</v>
      </c>
      <c r="G23">
        <f t="shared" si="5"/>
        <v>512.7975000000001</v>
      </c>
      <c r="H23">
        <f t="shared" si="5"/>
        <v>543.5653500000003</v>
      </c>
      <c r="I23">
        <f t="shared" si="5"/>
        <v>573.4614442500005</v>
      </c>
      <c r="J23">
        <f t="shared" si="5"/>
        <v>602.1345164625008</v>
      </c>
      <c r="K23">
        <f t="shared" si="5"/>
        <v>629.2305697033137</v>
      </c>
      <c r="L23">
        <f t="shared" si="5"/>
        <v>654.3997924914468</v>
      </c>
      <c r="M23">
        <f t="shared" si="5"/>
        <v>677.3037852286477</v>
      </c>
      <c r="N23">
        <f t="shared" si="5"/>
        <v>697.6228987855079</v>
      </c>
    </row>
    <row r="24" spans="1:14" ht="12.75">
      <c r="A24" t="s">
        <v>19</v>
      </c>
      <c r="D24">
        <f aca="true" t="shared" si="6" ref="D24:N24">D20*1000/D9</f>
        <v>433.33333333333337</v>
      </c>
      <c r="E24">
        <f t="shared" si="6"/>
        <v>433.3333333333333</v>
      </c>
      <c r="F24">
        <f t="shared" si="6"/>
        <v>463.6666666666667</v>
      </c>
      <c r="G24">
        <f t="shared" si="6"/>
        <v>493.805</v>
      </c>
      <c r="H24">
        <f t="shared" si="6"/>
        <v>523.4333000000001</v>
      </c>
      <c r="I24">
        <f t="shared" si="6"/>
        <v>552.2221315000004</v>
      </c>
      <c r="J24">
        <f t="shared" si="6"/>
        <v>579.8332380750007</v>
      </c>
      <c r="K24">
        <f t="shared" si="6"/>
        <v>605.925733788376</v>
      </c>
      <c r="L24">
        <f t="shared" si="6"/>
        <v>630.1627631399115</v>
      </c>
      <c r="M24">
        <f t="shared" si="6"/>
        <v>652.2184598498089</v>
      </c>
      <c r="N24">
        <f t="shared" si="6"/>
        <v>671.7850136453037</v>
      </c>
    </row>
    <row r="25" ht="12.75">
      <c r="A25" t="s">
        <v>26</v>
      </c>
    </row>
    <row r="26" spans="1:14" ht="12.75">
      <c r="A26" t="s">
        <v>17</v>
      </c>
      <c r="D26">
        <f aca="true" t="shared" si="7" ref="D26:N26">D14+D18</f>
        <v>71.42666666666666</v>
      </c>
      <c r="E26">
        <f t="shared" si="7"/>
        <v>107.14</v>
      </c>
      <c r="F26">
        <f t="shared" si="7"/>
        <v>114.63980000000001</v>
      </c>
      <c r="G26">
        <f t="shared" si="7"/>
        <v>122.09138700000003</v>
      </c>
      <c r="H26">
        <f t="shared" si="7"/>
        <v>129.41687022000005</v>
      </c>
      <c r="I26">
        <f t="shared" si="7"/>
        <v>136.5347980821001</v>
      </c>
      <c r="J26">
        <f t="shared" si="7"/>
        <v>143.36153798620518</v>
      </c>
      <c r="K26">
        <f t="shared" si="7"/>
        <v>149.81280719558453</v>
      </c>
      <c r="L26">
        <f t="shared" si="7"/>
        <v>155.805319483408</v>
      </c>
      <c r="M26">
        <f t="shared" si="7"/>
        <v>161.2585056653274</v>
      </c>
      <c r="N26">
        <f t="shared" si="7"/>
        <v>166.09626083528738</v>
      </c>
    </row>
    <row r="27" spans="1:14" ht="12.75">
      <c r="A27" t="s">
        <v>18</v>
      </c>
      <c r="D27">
        <f aca="true" t="shared" si="8" ref="D27:N27">D15+D19</f>
        <v>45.003</v>
      </c>
      <c r="E27">
        <f t="shared" si="8"/>
        <v>64.28999999999999</v>
      </c>
      <c r="F27">
        <f t="shared" si="8"/>
        <v>68.7903</v>
      </c>
      <c r="G27">
        <f t="shared" si="8"/>
        <v>73.26166950000001</v>
      </c>
      <c r="H27">
        <f t="shared" si="8"/>
        <v>77.65736967000004</v>
      </c>
      <c r="I27">
        <f t="shared" si="8"/>
        <v>81.92852500185006</v>
      </c>
      <c r="J27">
        <f t="shared" si="8"/>
        <v>86.02495125194261</v>
      </c>
      <c r="K27">
        <f t="shared" si="8"/>
        <v>89.89607405828008</v>
      </c>
      <c r="L27">
        <f t="shared" si="8"/>
        <v>93.49191702061135</v>
      </c>
      <c r="M27">
        <f t="shared" si="8"/>
        <v>96.76413411633283</v>
      </c>
      <c r="N27">
        <f t="shared" si="8"/>
        <v>99.6670581398229</v>
      </c>
    </row>
    <row r="28" spans="1:15" ht="12.75">
      <c r="A28" t="s">
        <v>19</v>
      </c>
      <c r="D28">
        <f aca="true" t="shared" si="9" ref="D28:N28">D16+D20</f>
        <v>61.913333333333334</v>
      </c>
      <c r="E28">
        <f t="shared" si="9"/>
        <v>92.87</v>
      </c>
      <c r="F28">
        <f t="shared" si="9"/>
        <v>99.3709</v>
      </c>
      <c r="G28">
        <f t="shared" si="9"/>
        <v>105.83000850000002</v>
      </c>
      <c r="H28">
        <f t="shared" si="9"/>
        <v>112.17980901000004</v>
      </c>
      <c r="I28">
        <f t="shared" si="9"/>
        <v>118.34969850555008</v>
      </c>
      <c r="J28">
        <f t="shared" si="9"/>
        <v>124.26718343082764</v>
      </c>
      <c r="K28">
        <f t="shared" si="9"/>
        <v>129.85920668521496</v>
      </c>
      <c r="L28">
        <f t="shared" si="9"/>
        <v>135.05357495262365</v>
      </c>
      <c r="M28">
        <f t="shared" si="9"/>
        <v>139.78045007596558</v>
      </c>
      <c r="N28">
        <f t="shared" si="9"/>
        <v>143.97386357824467</v>
      </c>
      <c r="O28">
        <f>SUM(D26:N28)</f>
        <v>3597.806979965179</v>
      </c>
    </row>
    <row r="29" ht="12.75">
      <c r="A29" t="s">
        <v>27</v>
      </c>
    </row>
    <row r="30" spans="1:14" ht="12.75">
      <c r="A30" t="s">
        <v>17</v>
      </c>
      <c r="D30">
        <f aca="true" t="shared" si="10" ref="D30:N30">D26/(D26+D27+D28)*100</f>
        <v>40.05016550504739</v>
      </c>
      <c r="E30">
        <f t="shared" si="10"/>
        <v>40.53726825576996</v>
      </c>
      <c r="F30">
        <f t="shared" si="10"/>
        <v>40.53726825576995</v>
      </c>
      <c r="G30">
        <f t="shared" si="10"/>
        <v>40.53726825576996</v>
      </c>
      <c r="H30">
        <f t="shared" si="10"/>
        <v>40.53726825576995</v>
      </c>
      <c r="I30">
        <f t="shared" si="10"/>
        <v>40.537268255769966</v>
      </c>
      <c r="J30">
        <f t="shared" si="10"/>
        <v>40.53726825576996</v>
      </c>
      <c r="K30">
        <f t="shared" si="10"/>
        <v>40.53726825576997</v>
      </c>
      <c r="L30">
        <f t="shared" si="10"/>
        <v>40.537268255769966</v>
      </c>
      <c r="M30">
        <f t="shared" si="10"/>
        <v>40.53726825576996</v>
      </c>
      <c r="N30">
        <f t="shared" si="10"/>
        <v>40.537268255769966</v>
      </c>
    </row>
    <row r="31" spans="1:14" ht="12.75">
      <c r="A31" t="s">
        <v>18</v>
      </c>
      <c r="D31">
        <f aca="true" t="shared" si="11" ref="D31:N31">D27/(D27+D28+D26)*100</f>
        <v>25.233959280711883</v>
      </c>
      <c r="E31">
        <f t="shared" si="11"/>
        <v>24.324631101021563</v>
      </c>
      <c r="F31">
        <f t="shared" si="11"/>
        <v>24.324631101021563</v>
      </c>
      <c r="G31">
        <f t="shared" si="11"/>
        <v>24.324631101021566</v>
      </c>
      <c r="H31">
        <f t="shared" si="11"/>
        <v>24.324631101021566</v>
      </c>
      <c r="I31">
        <f t="shared" si="11"/>
        <v>24.32463110102157</v>
      </c>
      <c r="J31">
        <f t="shared" si="11"/>
        <v>24.32463110102157</v>
      </c>
      <c r="K31">
        <f t="shared" si="11"/>
        <v>24.32463110102157</v>
      </c>
      <c r="L31">
        <f t="shared" si="11"/>
        <v>24.32463110102157</v>
      </c>
      <c r="M31">
        <f t="shared" si="11"/>
        <v>24.32463110102157</v>
      </c>
      <c r="N31">
        <f t="shared" si="11"/>
        <v>24.32463110102157</v>
      </c>
    </row>
    <row r="32" spans="1:14" ht="12.75">
      <c r="A32" t="s">
        <v>19</v>
      </c>
      <c r="D32">
        <f aca="true" t="shared" si="12" ref="D32:N32">D28/(D26+D27+D28)*100</f>
        <v>34.715875214240725</v>
      </c>
      <c r="E32">
        <f t="shared" si="12"/>
        <v>35.138100643208475</v>
      </c>
      <c r="F32">
        <f t="shared" si="12"/>
        <v>35.13810064320847</v>
      </c>
      <c r="G32">
        <f t="shared" si="12"/>
        <v>35.138100643208475</v>
      </c>
      <c r="H32">
        <f t="shared" si="12"/>
        <v>35.13810064320847</v>
      </c>
      <c r="I32">
        <f t="shared" si="12"/>
        <v>35.138100643208475</v>
      </c>
      <c r="J32">
        <f t="shared" si="12"/>
        <v>35.13810064320847</v>
      </c>
      <c r="K32">
        <f t="shared" si="12"/>
        <v>35.13810064320847</v>
      </c>
      <c r="L32">
        <f t="shared" si="12"/>
        <v>35.13810064320847</v>
      </c>
      <c r="M32">
        <f t="shared" si="12"/>
        <v>35.13810064320847</v>
      </c>
      <c r="N32">
        <f t="shared" si="12"/>
        <v>35.13810064320847</v>
      </c>
    </row>
    <row r="33" ht="12.75">
      <c r="A33" t="s">
        <v>28</v>
      </c>
    </row>
    <row r="34" spans="1:14" ht="12.75">
      <c r="A34" t="s">
        <v>17</v>
      </c>
      <c r="D34">
        <f aca="true" t="shared" si="13" ref="D34:N34">D26/D7*1000</f>
        <v>357.1333333333333</v>
      </c>
      <c r="E34">
        <f t="shared" si="13"/>
        <v>357.1333333333334</v>
      </c>
      <c r="F34">
        <f t="shared" si="13"/>
        <v>382.1326666666667</v>
      </c>
      <c r="G34">
        <f t="shared" si="13"/>
        <v>406.9712900000001</v>
      </c>
      <c r="H34">
        <f t="shared" si="13"/>
        <v>431.38956740000015</v>
      </c>
      <c r="I34">
        <f t="shared" si="13"/>
        <v>455.1159936070004</v>
      </c>
      <c r="J34">
        <f t="shared" si="13"/>
        <v>477.87179328735056</v>
      </c>
      <c r="K34">
        <f t="shared" si="13"/>
        <v>499.37602398528173</v>
      </c>
      <c r="L34">
        <f t="shared" si="13"/>
        <v>519.3510649446933</v>
      </c>
      <c r="M34">
        <f t="shared" si="13"/>
        <v>537.528352217758</v>
      </c>
      <c r="N34">
        <f t="shared" si="13"/>
        <v>553.6542027842912</v>
      </c>
    </row>
    <row r="35" spans="1:14" ht="12.75">
      <c r="A35" t="s">
        <v>18</v>
      </c>
      <c r="D35">
        <f aca="true" t="shared" si="14" ref="D35:N35">D27/D8*1000</f>
        <v>642.9</v>
      </c>
      <c r="E35">
        <f t="shared" si="14"/>
        <v>642.8999999999999</v>
      </c>
      <c r="F35">
        <f t="shared" si="14"/>
        <v>687.903</v>
      </c>
      <c r="G35">
        <f t="shared" si="14"/>
        <v>732.6166950000002</v>
      </c>
      <c r="H35">
        <f t="shared" si="14"/>
        <v>776.5736967000004</v>
      </c>
      <c r="I35">
        <f t="shared" si="14"/>
        <v>819.2852500185006</v>
      </c>
      <c r="J35">
        <f t="shared" si="14"/>
        <v>860.249512519426</v>
      </c>
      <c r="K35">
        <f t="shared" si="14"/>
        <v>898.9607405828008</v>
      </c>
      <c r="L35">
        <f t="shared" si="14"/>
        <v>934.9191702061134</v>
      </c>
      <c r="M35">
        <f t="shared" si="14"/>
        <v>967.6413411633282</v>
      </c>
      <c r="N35">
        <f t="shared" si="14"/>
        <v>996.6705813982289</v>
      </c>
    </row>
    <row r="36" spans="1:14" ht="12.75">
      <c r="A36" t="s">
        <v>19</v>
      </c>
      <c r="D36">
        <f aca="true" t="shared" si="15" ref="D36:N36">D28/D9*1000</f>
        <v>619.1333333333333</v>
      </c>
      <c r="E36">
        <f t="shared" si="15"/>
        <v>619.1333333333333</v>
      </c>
      <c r="F36">
        <f t="shared" si="15"/>
        <v>662.4726666666667</v>
      </c>
      <c r="G36">
        <f t="shared" si="15"/>
        <v>705.5333900000002</v>
      </c>
      <c r="H36">
        <f t="shared" si="15"/>
        <v>747.8653934000002</v>
      </c>
      <c r="I36">
        <f t="shared" si="15"/>
        <v>788.9979900370006</v>
      </c>
      <c r="J36">
        <f t="shared" si="15"/>
        <v>828.447889538851</v>
      </c>
      <c r="K36">
        <f t="shared" si="15"/>
        <v>865.7280445680997</v>
      </c>
      <c r="L36">
        <f t="shared" si="15"/>
        <v>900.3571663508243</v>
      </c>
      <c r="M36">
        <f t="shared" si="15"/>
        <v>931.8696671731038</v>
      </c>
      <c r="N36">
        <f t="shared" si="15"/>
        <v>959.8257571882979</v>
      </c>
    </row>
    <row r="37" ht="12.75">
      <c r="A37" t="s">
        <v>29</v>
      </c>
    </row>
    <row r="38" spans="1:14" ht="12.75">
      <c r="A38" t="s">
        <v>17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</row>
    <row r="39" spans="1:14" ht="12.75">
      <c r="A39" t="s">
        <v>18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</row>
    <row r="40" spans="1:14" ht="12.75">
      <c r="A40" t="s">
        <v>19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>
        <v>30</v>
      </c>
      <c r="K40">
        <v>30</v>
      </c>
      <c r="L40">
        <v>30</v>
      </c>
      <c r="M40">
        <v>30</v>
      </c>
      <c r="N40">
        <v>30</v>
      </c>
    </row>
    <row r="41" ht="12.75">
      <c r="A41" t="s">
        <v>30</v>
      </c>
    </row>
    <row r="42" spans="1:14" ht="12.75">
      <c r="A42" t="s">
        <v>17</v>
      </c>
      <c r="D42">
        <f aca="true" t="shared" si="16" ref="D42:N42">D34*(1+D38/100)</f>
        <v>446.41666666666663</v>
      </c>
      <c r="E42">
        <f t="shared" si="16"/>
        <v>446.41666666666674</v>
      </c>
      <c r="F42">
        <f t="shared" si="16"/>
        <v>477.66583333333335</v>
      </c>
      <c r="G42">
        <f t="shared" si="16"/>
        <v>508.71411250000017</v>
      </c>
      <c r="H42">
        <f t="shared" si="16"/>
        <v>539.2369592500002</v>
      </c>
      <c r="I42">
        <f t="shared" si="16"/>
        <v>568.8949920087505</v>
      </c>
      <c r="J42">
        <f t="shared" si="16"/>
        <v>597.3397416091882</v>
      </c>
      <c r="K42">
        <f t="shared" si="16"/>
        <v>624.2200299816021</v>
      </c>
      <c r="L42">
        <f t="shared" si="16"/>
        <v>649.1888311808667</v>
      </c>
      <c r="M42">
        <f t="shared" si="16"/>
        <v>671.9104402721974</v>
      </c>
      <c r="N42">
        <f t="shared" si="16"/>
        <v>692.067753480364</v>
      </c>
    </row>
    <row r="43" spans="1:14" ht="12.75">
      <c r="A43" t="s">
        <v>18</v>
      </c>
      <c r="D43">
        <f aca="true" t="shared" si="17" ref="D43:N43">D35*(1+D39/100)</f>
        <v>771.4799999999999</v>
      </c>
      <c r="E43">
        <f t="shared" si="17"/>
        <v>771.4799999999998</v>
      </c>
      <c r="F43">
        <f t="shared" si="17"/>
        <v>825.4836</v>
      </c>
      <c r="G43">
        <f t="shared" si="17"/>
        <v>879.1400340000001</v>
      </c>
      <c r="H43">
        <f t="shared" si="17"/>
        <v>931.8884360400004</v>
      </c>
      <c r="I43">
        <f t="shared" si="17"/>
        <v>983.1423000222007</v>
      </c>
      <c r="J43">
        <f t="shared" si="17"/>
        <v>1032.2994150233112</v>
      </c>
      <c r="K43">
        <f t="shared" si="17"/>
        <v>1078.752888699361</v>
      </c>
      <c r="L43">
        <f t="shared" si="17"/>
        <v>1121.9030042473362</v>
      </c>
      <c r="M43">
        <f t="shared" si="17"/>
        <v>1161.1696093959938</v>
      </c>
      <c r="N43">
        <f t="shared" si="17"/>
        <v>1196.0046976778747</v>
      </c>
    </row>
    <row r="44" spans="1:14" ht="12.75">
      <c r="A44" t="s">
        <v>19</v>
      </c>
      <c r="D44">
        <f aca="true" t="shared" si="18" ref="D44:N44">D36*(1+D40/100)</f>
        <v>804.8733333333333</v>
      </c>
      <c r="E44">
        <f t="shared" si="18"/>
        <v>804.8733333333333</v>
      </c>
      <c r="F44">
        <f t="shared" si="18"/>
        <v>861.2144666666667</v>
      </c>
      <c r="G44">
        <f t="shared" si="18"/>
        <v>917.1934070000002</v>
      </c>
      <c r="H44">
        <f t="shared" si="18"/>
        <v>972.2250114200003</v>
      </c>
      <c r="I44">
        <f t="shared" si="18"/>
        <v>1025.6973870481008</v>
      </c>
      <c r="J44">
        <f t="shared" si="18"/>
        <v>1076.9822564005062</v>
      </c>
      <c r="K44">
        <f t="shared" si="18"/>
        <v>1125.4464579385296</v>
      </c>
      <c r="L44">
        <f t="shared" si="18"/>
        <v>1170.4643162560717</v>
      </c>
      <c r="M44">
        <f t="shared" si="18"/>
        <v>1211.430567325035</v>
      </c>
      <c r="N44">
        <f t="shared" si="18"/>
        <v>1247.7734843447872</v>
      </c>
    </row>
    <row r="45" ht="12.75">
      <c r="A45" t="s">
        <v>31</v>
      </c>
    </row>
    <row r="46" spans="1:14" ht="12.75">
      <c r="A46" t="s">
        <v>17</v>
      </c>
      <c r="D46">
        <f aca="true" t="shared" si="19" ref="D46:N46">D42*D7/1000</f>
        <v>89.28333333333333</v>
      </c>
      <c r="E46">
        <f t="shared" si="19"/>
        <v>133.92500000000004</v>
      </c>
      <c r="F46">
        <f t="shared" si="19"/>
        <v>143.29975</v>
      </c>
      <c r="G46">
        <f t="shared" si="19"/>
        <v>152.61423375000004</v>
      </c>
      <c r="H46">
        <f t="shared" si="19"/>
        <v>161.77108777500004</v>
      </c>
      <c r="I46">
        <f t="shared" si="19"/>
        <v>170.66849760262514</v>
      </c>
      <c r="J46">
        <f t="shared" si="19"/>
        <v>179.20192248275646</v>
      </c>
      <c r="K46">
        <f t="shared" si="19"/>
        <v>187.26600899448061</v>
      </c>
      <c r="L46">
        <f t="shared" si="19"/>
        <v>194.75664935426002</v>
      </c>
      <c r="M46">
        <f t="shared" si="19"/>
        <v>201.57313208165922</v>
      </c>
      <c r="N46">
        <f t="shared" si="19"/>
        <v>207.6203260441092</v>
      </c>
    </row>
    <row r="47" spans="1:14" ht="12.75">
      <c r="A47" t="s">
        <v>18</v>
      </c>
      <c r="D47">
        <f aca="true" t="shared" si="20" ref="D47:N47">D43*D8/1000</f>
        <v>54.00359999999999</v>
      </c>
      <c r="E47">
        <f t="shared" si="20"/>
        <v>77.14799999999998</v>
      </c>
      <c r="F47">
        <f t="shared" si="20"/>
        <v>82.54836</v>
      </c>
      <c r="G47">
        <f t="shared" si="20"/>
        <v>87.91400340000001</v>
      </c>
      <c r="H47">
        <f t="shared" si="20"/>
        <v>93.18884360400004</v>
      </c>
      <c r="I47">
        <f t="shared" si="20"/>
        <v>98.31423000222009</v>
      </c>
      <c r="J47">
        <f t="shared" si="20"/>
        <v>103.22994150233112</v>
      </c>
      <c r="K47">
        <f t="shared" si="20"/>
        <v>107.87528886993609</v>
      </c>
      <c r="L47">
        <f t="shared" si="20"/>
        <v>112.19030042473362</v>
      </c>
      <c r="M47">
        <f t="shared" si="20"/>
        <v>116.11696093959938</v>
      </c>
      <c r="N47">
        <f t="shared" si="20"/>
        <v>119.60046976778746</v>
      </c>
    </row>
    <row r="48" spans="1:15" ht="12.75">
      <c r="A48" t="s">
        <v>19</v>
      </c>
      <c r="D48">
        <f aca="true" t="shared" si="21" ref="D48:N48">D44*D9/1000</f>
        <v>80.48733333333332</v>
      </c>
      <c r="E48">
        <f t="shared" si="21"/>
        <v>120.731</v>
      </c>
      <c r="F48">
        <f t="shared" si="21"/>
        <v>129.18216999999999</v>
      </c>
      <c r="G48">
        <f t="shared" si="21"/>
        <v>137.57901105000002</v>
      </c>
      <c r="H48">
        <f t="shared" si="21"/>
        <v>145.83375171300005</v>
      </c>
      <c r="I48">
        <f t="shared" si="21"/>
        <v>153.8546080572151</v>
      </c>
      <c r="J48">
        <f t="shared" si="21"/>
        <v>161.54733846007593</v>
      </c>
      <c r="K48">
        <f t="shared" si="21"/>
        <v>168.81696869077945</v>
      </c>
      <c r="L48">
        <f t="shared" si="21"/>
        <v>175.56964743841075</v>
      </c>
      <c r="M48">
        <f t="shared" si="21"/>
        <v>181.71458509875526</v>
      </c>
      <c r="N48">
        <f t="shared" si="21"/>
        <v>187.1660226517181</v>
      </c>
      <c r="O48">
        <f>SUM(D46:N48)</f>
        <v>4516.59237642212</v>
      </c>
    </row>
    <row r="49" spans="1:15" ht="12.75">
      <c r="A49" t="s">
        <v>32</v>
      </c>
      <c r="D49">
        <f aca="true" t="shared" si="22" ref="D49:N49">(D46+D47+D48)-(D26+D27+D28)</f>
        <v>45.43126666666663</v>
      </c>
      <c r="E49">
        <f t="shared" si="22"/>
        <v>67.50400000000002</v>
      </c>
      <c r="F49">
        <f t="shared" si="22"/>
        <v>72.2292799999999</v>
      </c>
      <c r="G49">
        <f t="shared" si="22"/>
        <v>76.92418320000002</v>
      </c>
      <c r="H49">
        <f t="shared" si="22"/>
        <v>81.539634192</v>
      </c>
      <c r="I49">
        <f t="shared" si="22"/>
        <v>86.02431407256006</v>
      </c>
      <c r="J49">
        <f t="shared" si="22"/>
        <v>90.32552977618809</v>
      </c>
      <c r="K49">
        <f t="shared" si="22"/>
        <v>94.3901786161166</v>
      </c>
      <c r="L49">
        <f t="shared" si="22"/>
        <v>98.16578576076142</v>
      </c>
      <c r="M49">
        <f t="shared" si="22"/>
        <v>101.60158826238802</v>
      </c>
      <c r="N49">
        <f t="shared" si="22"/>
        <v>104.6496359102598</v>
      </c>
      <c r="O49">
        <f>SUM(D49:N49)</f>
        <v>918.7853964569406</v>
      </c>
    </row>
    <row r="50" spans="1:14" ht="12.75">
      <c r="A50" t="s">
        <v>33</v>
      </c>
      <c r="D50">
        <f aca="true" t="shared" si="23" ref="D50:N50">(D26+D27+D28)/10</f>
        <v>17.8343</v>
      </c>
      <c r="E50">
        <f t="shared" si="23"/>
        <v>26.43</v>
      </c>
      <c r="F50">
        <f t="shared" si="23"/>
        <v>28.280100000000004</v>
      </c>
      <c r="G50">
        <f t="shared" si="23"/>
        <v>30.118306500000006</v>
      </c>
      <c r="H50">
        <f t="shared" si="23"/>
        <v>31.925404890000017</v>
      </c>
      <c r="I50">
        <f t="shared" si="23"/>
        <v>33.681302158950025</v>
      </c>
      <c r="J50">
        <f t="shared" si="23"/>
        <v>35.36536726689754</v>
      </c>
      <c r="K50">
        <f t="shared" si="23"/>
        <v>36.95680879390795</v>
      </c>
      <c r="L50">
        <f t="shared" si="23"/>
        <v>38.4350811456643</v>
      </c>
      <c r="M50">
        <f t="shared" si="23"/>
        <v>39.78030898576258</v>
      </c>
      <c r="N50">
        <f t="shared" si="23"/>
        <v>40.9737182553355</v>
      </c>
    </row>
    <row r="51" spans="1:14" ht="12.75">
      <c r="A51" t="s">
        <v>34</v>
      </c>
      <c r="B51">
        <f aca="true" t="shared" si="24" ref="B51:G51">B11*0.2*1.1</f>
        <v>22</v>
      </c>
      <c r="C51">
        <f t="shared" si="24"/>
        <v>44</v>
      </c>
      <c r="D51">
        <f t="shared" si="24"/>
        <v>55.00000000000001</v>
      </c>
      <c r="E51">
        <f t="shared" si="24"/>
        <v>45.96372000000001</v>
      </c>
      <c r="F51">
        <f t="shared" si="24"/>
        <v>36.294900400000024</v>
      </c>
      <c r="G51">
        <f t="shared" si="24"/>
        <v>25.99760752600002</v>
      </c>
      <c r="H51">
        <v>0</v>
      </c>
      <c r="I51">
        <f aca="true" t="shared" si="25" ref="I51:N51">I11*0.2</f>
        <v>0</v>
      </c>
      <c r="J51">
        <f t="shared" si="25"/>
        <v>0</v>
      </c>
      <c r="K51">
        <f t="shared" si="25"/>
        <v>0</v>
      </c>
      <c r="L51">
        <f t="shared" si="25"/>
        <v>0</v>
      </c>
      <c r="M51">
        <f t="shared" si="25"/>
        <v>0</v>
      </c>
      <c r="N51">
        <f t="shared" si="25"/>
        <v>0</v>
      </c>
    </row>
    <row r="52" spans="1:4" ht="12.75">
      <c r="A52" t="s">
        <v>35</v>
      </c>
      <c r="B52">
        <f>-(B49-B50-B51)</f>
        <v>22</v>
      </c>
      <c r="C52">
        <f>-(C49-C50-C51)+B53</f>
        <v>48.84</v>
      </c>
      <c r="D52">
        <f>-(D49-D50-D51)+C53</f>
        <v>38.14783333333338</v>
      </c>
    </row>
    <row r="53" spans="1:4" ht="12.75">
      <c r="A53" t="s">
        <v>36</v>
      </c>
      <c r="B53">
        <f>B52*0.2*1.1</f>
        <v>4.840000000000001</v>
      </c>
      <c r="C53">
        <f>C52*0.2*1.1</f>
        <v>10.744800000000001</v>
      </c>
      <c r="D53">
        <f>D52*0.2*1.1</f>
        <v>8.392523333333344</v>
      </c>
    </row>
    <row r="54" spans="1:15" ht="12.75">
      <c r="A54" t="s">
        <v>37</v>
      </c>
      <c r="B54">
        <f>-B51-B53</f>
        <v>-26.84</v>
      </c>
      <c r="C54">
        <f>-C51-C53</f>
        <v>-54.7448</v>
      </c>
      <c r="D54">
        <f aca="true" t="shared" si="26" ref="D54:N54">D49-D50-D51-D53</f>
        <v>-35.79555666666672</v>
      </c>
      <c r="E54">
        <f t="shared" si="26"/>
        <v>-4.88971999999999</v>
      </c>
      <c r="F54">
        <f t="shared" si="26"/>
        <v>7.6542795999998745</v>
      </c>
      <c r="G54">
        <f t="shared" si="26"/>
        <v>20.808269173999992</v>
      </c>
      <c r="H54">
        <f t="shared" si="26"/>
        <v>49.61422930199998</v>
      </c>
      <c r="I54">
        <f t="shared" si="26"/>
        <v>52.343011913610034</v>
      </c>
      <c r="J54">
        <f t="shared" si="26"/>
        <v>54.96016250929055</v>
      </c>
      <c r="K54">
        <f t="shared" si="26"/>
        <v>57.43336982220865</v>
      </c>
      <c r="L54">
        <f t="shared" si="26"/>
        <v>59.730704615097125</v>
      </c>
      <c r="M54">
        <f t="shared" si="26"/>
        <v>61.82127927662544</v>
      </c>
      <c r="N54">
        <f t="shared" si="26"/>
        <v>63.675917654924305</v>
      </c>
      <c r="O54">
        <f>SUM(B54:N54)</f>
        <v>305.7711472010892</v>
      </c>
    </row>
    <row r="55" spans="1:14" ht="12.75">
      <c r="A55" t="s">
        <v>38</v>
      </c>
      <c r="B55">
        <v>0</v>
      </c>
      <c r="C55">
        <v>0</v>
      </c>
      <c r="D55">
        <v>0</v>
      </c>
      <c r="E55">
        <f aca="true" t="shared" si="27" ref="E55:N55">E54*0.3</f>
        <v>-1.466915999999997</v>
      </c>
      <c r="F55">
        <f t="shared" si="27"/>
        <v>2.296283879999962</v>
      </c>
      <c r="G55">
        <f t="shared" si="27"/>
        <v>6.242480752199998</v>
      </c>
      <c r="H55">
        <f t="shared" si="27"/>
        <v>14.884268790599993</v>
      </c>
      <c r="I55">
        <f t="shared" si="27"/>
        <v>15.70290357408301</v>
      </c>
      <c r="J55">
        <f t="shared" si="27"/>
        <v>16.488048752787165</v>
      </c>
      <c r="K55">
        <f t="shared" si="27"/>
        <v>17.230010946662592</v>
      </c>
      <c r="L55">
        <f t="shared" si="27"/>
        <v>17.919211384529138</v>
      </c>
      <c r="M55">
        <f t="shared" si="27"/>
        <v>18.546383782987633</v>
      </c>
      <c r="N55">
        <f t="shared" si="27"/>
        <v>19.10277529647729</v>
      </c>
    </row>
    <row r="56" spans="1:15" ht="12.75">
      <c r="A56" t="s">
        <v>39</v>
      </c>
      <c r="B56">
        <f aca="true" t="shared" si="28" ref="B56:N56">B54-B55</f>
        <v>-26.84</v>
      </c>
      <c r="C56">
        <f t="shared" si="28"/>
        <v>-54.7448</v>
      </c>
      <c r="D56">
        <f t="shared" si="28"/>
        <v>-35.79555666666672</v>
      </c>
      <c r="E56">
        <f t="shared" si="28"/>
        <v>-3.422803999999993</v>
      </c>
      <c r="F56">
        <f t="shared" si="28"/>
        <v>5.357995719999913</v>
      </c>
      <c r="G56">
        <f t="shared" si="28"/>
        <v>14.565788421799994</v>
      </c>
      <c r="H56">
        <f t="shared" si="28"/>
        <v>34.72996051139998</v>
      </c>
      <c r="I56">
        <f t="shared" si="28"/>
        <v>36.640108339527025</v>
      </c>
      <c r="J56">
        <f t="shared" si="28"/>
        <v>38.47211375650338</v>
      </c>
      <c r="K56">
        <f t="shared" si="28"/>
        <v>40.20335887554606</v>
      </c>
      <c r="L56">
        <f t="shared" si="28"/>
        <v>41.81149323056799</v>
      </c>
      <c r="M56">
        <f t="shared" si="28"/>
        <v>43.27489549363781</v>
      </c>
      <c r="N56">
        <f t="shared" si="28"/>
        <v>44.573142358447015</v>
      </c>
      <c r="O56">
        <f>SUM(B56:N56)</f>
        <v>178.82569604076247</v>
      </c>
    </row>
    <row r="57" spans="1:14" ht="12.75">
      <c r="A57" t="s">
        <v>40</v>
      </c>
      <c r="C57">
        <f>0.208*3</f>
        <v>0.624</v>
      </c>
      <c r="D57">
        <f>0.208*12+1.875*5</f>
        <v>11.871</v>
      </c>
      <c r="E57">
        <f aca="true" t="shared" si="29" ref="E57:M57">0.208*12+1.875*12</f>
        <v>24.996</v>
      </c>
      <c r="F57">
        <f t="shared" si="29"/>
        <v>24.996</v>
      </c>
      <c r="G57">
        <f t="shared" si="29"/>
        <v>24.996</v>
      </c>
      <c r="H57">
        <f t="shared" si="29"/>
        <v>24.996</v>
      </c>
      <c r="I57">
        <f t="shared" si="29"/>
        <v>24.996</v>
      </c>
      <c r="J57">
        <f t="shared" si="29"/>
        <v>24.996</v>
      </c>
      <c r="K57">
        <f t="shared" si="29"/>
        <v>24.996</v>
      </c>
      <c r="L57">
        <f t="shared" si="29"/>
        <v>24.996</v>
      </c>
      <c r="M57">
        <f t="shared" si="29"/>
        <v>24.996</v>
      </c>
      <c r="N57">
        <f>1.875*7+0.208*12</f>
        <v>15.621</v>
      </c>
    </row>
    <row r="59" spans="1:14" ht="12.75">
      <c r="A59" t="s">
        <v>41</v>
      </c>
      <c r="B59">
        <f>-B10+B56</f>
        <v>-126.84</v>
      </c>
      <c r="C59">
        <f aca="true" t="shared" si="30" ref="C59:N59">-C10+C56+C57</f>
        <v>-154.1208</v>
      </c>
      <c r="D59">
        <f t="shared" si="30"/>
        <v>-73.92455666666673</v>
      </c>
      <c r="E59">
        <f t="shared" si="30"/>
        <v>21.573196000000006</v>
      </c>
      <c r="F59">
        <f t="shared" si="30"/>
        <v>30.35399571999991</v>
      </c>
      <c r="G59">
        <f t="shared" si="30"/>
        <v>39.56178842179999</v>
      </c>
      <c r="H59">
        <f t="shared" si="30"/>
        <v>59.725960511399975</v>
      </c>
      <c r="I59">
        <f t="shared" si="30"/>
        <v>61.63610833952703</v>
      </c>
      <c r="J59">
        <f t="shared" si="30"/>
        <v>63.468113756503385</v>
      </c>
      <c r="K59">
        <f t="shared" si="30"/>
        <v>65.19935887554605</v>
      </c>
      <c r="L59">
        <f t="shared" si="30"/>
        <v>66.80749323056799</v>
      </c>
      <c r="M59">
        <f t="shared" si="30"/>
        <v>68.27089549363781</v>
      </c>
      <c r="N59">
        <f t="shared" si="30"/>
        <v>60.19414235844702</v>
      </c>
    </row>
    <row r="60" spans="1:14" ht="12.75">
      <c r="A60" t="s">
        <v>42</v>
      </c>
      <c r="B60">
        <f>B59</f>
        <v>-126.84</v>
      </c>
      <c r="C60">
        <f aca="true" t="shared" si="31" ref="C60:N60">C59+B60</f>
        <v>-280.9608</v>
      </c>
      <c r="D60">
        <f t="shared" si="31"/>
        <v>-354.8853566666667</v>
      </c>
      <c r="E60">
        <f t="shared" si="31"/>
        <v>-333.3121606666667</v>
      </c>
      <c r="F60">
        <f t="shared" si="31"/>
        <v>-302.95816494666684</v>
      </c>
      <c r="G60">
        <f t="shared" si="31"/>
        <v>-263.39637652486687</v>
      </c>
      <c r="H60">
        <f t="shared" si="31"/>
        <v>-203.67041601346688</v>
      </c>
      <c r="I60">
        <f t="shared" si="31"/>
        <v>-142.03430767393985</v>
      </c>
      <c r="J60">
        <f t="shared" si="31"/>
        <v>-78.56619391743646</v>
      </c>
      <c r="K60">
        <f t="shared" si="31"/>
        <v>-13.366835041890411</v>
      </c>
      <c r="L60">
        <f t="shared" si="31"/>
        <v>53.440658188677574</v>
      </c>
      <c r="M60">
        <f t="shared" si="31"/>
        <v>121.71155368231538</v>
      </c>
      <c r="N60">
        <f t="shared" si="31"/>
        <v>181.9056960407624</v>
      </c>
    </row>
    <row r="62" spans="1:14" ht="12.75">
      <c r="A62" t="s">
        <v>43</v>
      </c>
      <c r="B62">
        <f>1/POWER(1.2,0.5)</f>
        <v>0.9128709291752769</v>
      </c>
      <c r="C62">
        <f>1/POWER(1.2,1.5)</f>
        <v>0.7607257743127307</v>
      </c>
      <c r="D62">
        <f>1/POWER(1.2,2.5)</f>
        <v>0.633938145260609</v>
      </c>
      <c r="E62">
        <f>1/POWER(1.2,3.5)</f>
        <v>0.5282817877171742</v>
      </c>
      <c r="F62">
        <f>1/POWER(1.2,4.5)</f>
        <v>0.44023482309764517</v>
      </c>
      <c r="G62">
        <f>1/POWER(1.2,5.5)</f>
        <v>0.36686235258137107</v>
      </c>
      <c r="H62">
        <f>1/POWER(1.2,6.5)</f>
        <v>0.3057186271511425</v>
      </c>
      <c r="I62">
        <f>1/POWER(1.2,7.5)</f>
        <v>0.25476552262595203</v>
      </c>
      <c r="J62">
        <f>1/POWER(1.2,8.5)</f>
        <v>0.21230460218829345</v>
      </c>
      <c r="K62">
        <f>1/POWER(1.2,9.5)</f>
        <v>0.17692050182357785</v>
      </c>
      <c r="L62">
        <f>1/POWER(1.2,10.5)</f>
        <v>0.14743375151964822</v>
      </c>
      <c r="M62">
        <f>1/POWER(1.2,11.5)</f>
        <v>0.12286145959970685</v>
      </c>
      <c r="N62">
        <f>1/POWER(1.2,12.5)</f>
        <v>0.1023845496664224</v>
      </c>
    </row>
    <row r="63" spans="1:14" ht="12.75">
      <c r="A63" t="s">
        <v>44</v>
      </c>
      <c r="B63">
        <f aca="true" t="shared" si="32" ref="B63:N63">B59*B62</f>
        <v>-115.78854865659213</v>
      </c>
      <c r="C63">
        <f t="shared" si="32"/>
        <v>-117.2436649176975</v>
      </c>
      <c r="D63">
        <f t="shared" si="32"/>
        <v>-46.8635963424795</v>
      </c>
      <c r="E63">
        <f t="shared" si="32"/>
        <v>11.396726549652994</v>
      </c>
      <c r="F63">
        <f t="shared" si="32"/>
        <v>13.36288593610084</v>
      </c>
      <c r="G63">
        <f t="shared" si="32"/>
        <v>14.51373077274799</v>
      </c>
      <c r="H63">
        <f t="shared" si="32"/>
        <v>18.25933865282855</v>
      </c>
      <c r="I63">
        <f t="shared" si="32"/>
        <v>15.702755353749403</v>
      </c>
      <c r="J63">
        <f t="shared" si="32"/>
        <v>13.474572642715806</v>
      </c>
      <c r="K63">
        <f t="shared" si="32"/>
        <v>11.535103290837153</v>
      </c>
      <c r="L63">
        <f t="shared" si="32"/>
        <v>9.84967935660614</v>
      </c>
      <c r="M63">
        <f t="shared" si="32"/>
        <v>8.38786186852739</v>
      </c>
      <c r="N63">
        <f t="shared" si="32"/>
        <v>6.162950157926119</v>
      </c>
    </row>
    <row r="64" spans="1:14" ht="12.75">
      <c r="A64" t="s">
        <v>45</v>
      </c>
      <c r="B64">
        <f aca="true" t="shared" si="33" ref="B64:N64">B60*B62</f>
        <v>-115.78854865659213</v>
      </c>
      <c r="C64">
        <f t="shared" si="33"/>
        <v>-213.73412213152426</v>
      </c>
      <c r="D64">
        <f t="shared" si="33"/>
        <v>-224.9753647854164</v>
      </c>
      <c r="E64">
        <f t="shared" si="33"/>
        <v>-176.08274410486067</v>
      </c>
      <c r="F64">
        <f t="shared" si="33"/>
        <v>-133.37273415128308</v>
      </c>
      <c r="G64">
        <f t="shared" si="33"/>
        <v>-96.63021435332128</v>
      </c>
      <c r="H64">
        <f t="shared" si="33"/>
        <v>-62.26583997493916</v>
      </c>
      <c r="I64">
        <f t="shared" si="33"/>
        <v>-36.18544462536656</v>
      </c>
      <c r="J64">
        <f t="shared" si="33"/>
        <v>-16.679964545089668</v>
      </c>
      <c r="K64">
        <f t="shared" si="33"/>
        <v>-2.3648671634042366</v>
      </c>
      <c r="L64">
        <f t="shared" si="33"/>
        <v>7.878956720435943</v>
      </c>
      <c r="M64">
        <f t="shared" si="33"/>
        <v>14.953659135557343</v>
      </c>
      <c r="N64">
        <f t="shared" si="33"/>
        <v>18.62433277089057</v>
      </c>
    </row>
    <row r="65" spans="1:4" ht="12.75">
      <c r="A65" t="s">
        <v>46</v>
      </c>
      <c r="B65">
        <f>B10*B62</f>
        <v>91.28709291752769</v>
      </c>
      <c r="C65">
        <f>C10*C62</f>
        <v>76.07257743127307</v>
      </c>
      <c r="D65">
        <f>D10*D62</f>
        <v>31.69690726303045</v>
      </c>
    </row>
    <row r="66" spans="1:4" ht="12.75">
      <c r="A66" t="s">
        <v>47</v>
      </c>
      <c r="B66">
        <f>B65</f>
        <v>91.28709291752769</v>
      </c>
      <c r="C66">
        <f>B66+C65</f>
        <v>167.35967034880076</v>
      </c>
      <c r="D66">
        <f>C66+D65</f>
        <v>199.05657761183122</v>
      </c>
    </row>
    <row r="67" spans="1:14" ht="12.75">
      <c r="A67" t="s">
        <v>48</v>
      </c>
      <c r="N67">
        <f>N64</f>
        <v>18.62433277089057</v>
      </c>
    </row>
    <row r="68" spans="1:14" ht="12.75">
      <c r="A68" t="s">
        <v>49</v>
      </c>
      <c r="N68">
        <f>N67/D66</f>
        <v>0.09356301105110333</v>
      </c>
    </row>
    <row r="69" spans="1:14" ht="12.75">
      <c r="A69" t="s">
        <v>50</v>
      </c>
      <c r="N69">
        <v>6.129</v>
      </c>
    </row>
    <row r="71" spans="1:14" ht="12.75">
      <c r="A71" t="s">
        <v>43</v>
      </c>
      <c r="B71">
        <f>1/POWER(1.15,0.5)</f>
        <v>0.9325048082403138</v>
      </c>
      <c r="C71">
        <f>1/POWER(1.15,1.5)</f>
        <v>0.8108737462959251</v>
      </c>
      <c r="D71">
        <f>1/POWER(1.15,2.5)</f>
        <v>0.7051076054747175</v>
      </c>
      <c r="E71">
        <f>1/POWER(1.15,3.5)</f>
        <v>0.6131370482388848</v>
      </c>
      <c r="F71">
        <f>1/POWER(1.15,4.5)</f>
        <v>0.5331626506425087</v>
      </c>
      <c r="G71">
        <f>1/POWER(1.15,5.5)</f>
        <v>0.4636196962108771</v>
      </c>
      <c r="H71">
        <f>1/POWER(1.15,6.5)</f>
        <v>0.40314756192250184</v>
      </c>
      <c r="I71">
        <f>1/POWER(1.15,7.5)</f>
        <v>0.35056309732391466</v>
      </c>
      <c r="J71">
        <f>1/POWER(1.15,8.5)</f>
        <v>0.30483747593383886</v>
      </c>
      <c r="K71">
        <f>1/POWER(1.15,9.5)</f>
        <v>0.26507606602942513</v>
      </c>
      <c r="L71">
        <f>1/POWER(1.15,10.5)</f>
        <v>0.23050092698210878</v>
      </c>
      <c r="M71">
        <f>1/POWER(1.15,11.5)</f>
        <v>0.20043558868009465</v>
      </c>
      <c r="N71">
        <f>1/POWER(1.15,12.5)</f>
        <v>0.17429181624356058</v>
      </c>
    </row>
    <row r="72" spans="1:14" ht="12.75">
      <c r="A72" t="s">
        <v>44</v>
      </c>
      <c r="B72">
        <f aca="true" t="shared" si="34" ref="B72:N72">B59*B71</f>
        <v>-118.2789098772014</v>
      </c>
      <c r="C72">
        <f t="shared" si="34"/>
        <v>-124.97251047812502</v>
      </c>
      <c r="D72">
        <f t="shared" si="34"/>
        <v>-52.12476713701344</v>
      </c>
      <c r="E72">
        <f t="shared" si="34"/>
        <v>13.227325716518921</v>
      </c>
      <c r="F72">
        <f t="shared" si="34"/>
        <v>16.183616815666518</v>
      </c>
      <c r="G72">
        <f t="shared" si="34"/>
        <v>18.341624329673905</v>
      </c>
      <c r="H72">
        <f t="shared" si="34"/>
        <v>24.078375363650522</v>
      </c>
      <c r="I72">
        <f t="shared" si="34"/>
        <v>21.60734504649696</v>
      </c>
      <c r="J72">
        <f t="shared" si="34"/>
        <v>19.347459599814247</v>
      </c>
      <c r="K72">
        <f t="shared" si="34"/>
        <v>17.282789558370432</v>
      </c>
      <c r="L72">
        <f t="shared" si="34"/>
        <v>15.399189118996878</v>
      </c>
      <c r="M72">
        <f t="shared" si="34"/>
        <v>13.683917127984515</v>
      </c>
      <c r="N72">
        <f t="shared" si="34"/>
        <v>10.491346398877173</v>
      </c>
    </row>
    <row r="73" spans="1:14" ht="12.75">
      <c r="A73" t="s">
        <v>45</v>
      </c>
      <c r="B73">
        <f aca="true" t="shared" si="35" ref="B73:N73">B60*B71</f>
        <v>-118.2789098772014</v>
      </c>
      <c r="C73">
        <f t="shared" si="35"/>
        <v>-227.82373645830017</v>
      </c>
      <c r="D73">
        <f t="shared" si="35"/>
        <v>-250.23236405727445</v>
      </c>
      <c r="E73">
        <f t="shared" si="35"/>
        <v>-204.36603433328497</v>
      </c>
      <c r="F73">
        <f t="shared" si="35"/>
        <v>-161.52597825675525</v>
      </c>
      <c r="G73">
        <f t="shared" si="35"/>
        <v>-122.11574806750458</v>
      </c>
      <c r="H73">
        <f t="shared" si="35"/>
        <v>-82.10923165157085</v>
      </c>
      <c r="I73">
        <f t="shared" si="35"/>
        <v>-49.79198682443422</v>
      </c>
      <c r="J73">
        <f t="shared" si="35"/>
        <v>-23.949920247519856</v>
      </c>
      <c r="K73">
        <f t="shared" si="35"/>
        <v>-3.5432280481685763</v>
      </c>
      <c r="L73">
        <f t="shared" si="35"/>
        <v>12.318121251024204</v>
      </c>
      <c r="M73">
        <f t="shared" si="35"/>
        <v>24.395326911483824</v>
      </c>
      <c r="N73">
        <f t="shared" si="35"/>
        <v>31.704674147993543</v>
      </c>
    </row>
    <row r="74" spans="1:4" ht="12.75">
      <c r="A74" t="s">
        <v>46</v>
      </c>
      <c r="B74">
        <f>B10*B71</f>
        <v>93.25048082403138</v>
      </c>
      <c r="C74">
        <f>C10*C71</f>
        <v>81.08737462959252</v>
      </c>
      <c r="D74">
        <f>D10*D71</f>
        <v>35.255380273735874</v>
      </c>
    </row>
    <row r="75" spans="1:4" ht="12.75">
      <c r="A75" t="s">
        <v>47</v>
      </c>
      <c r="B75">
        <f>B74</f>
        <v>93.25048082403138</v>
      </c>
      <c r="C75">
        <f>B75+C74</f>
        <v>174.3378554536239</v>
      </c>
      <c r="D75">
        <f>C75+D74</f>
        <v>209.59323572735977</v>
      </c>
    </row>
    <row r="76" spans="1:14" ht="12.75">
      <c r="A76" t="s">
        <v>48</v>
      </c>
      <c r="N76">
        <f>N73</f>
        <v>31.704674147993543</v>
      </c>
    </row>
    <row r="77" spans="1:14" ht="12.75">
      <c r="A77" t="s">
        <v>49</v>
      </c>
      <c r="N77">
        <f>N76/D75</f>
        <v>0.15126764009328617</v>
      </c>
    </row>
    <row r="78" ht="12.75">
      <c r="A78" t="s">
        <v>50</v>
      </c>
    </row>
    <row r="80" spans="1:14" ht="12.75">
      <c r="A80" t="s">
        <v>43</v>
      </c>
      <c r="B80">
        <f>1/POWER(1.25,0.5)</f>
        <v>0.8944271909999159</v>
      </c>
      <c r="C80">
        <f>1/POWER(1.25,1.5)</f>
        <v>0.7155417527999327</v>
      </c>
      <c r="D80">
        <f>1/POWER(1.25,2.5)</f>
        <v>0.5724334022399462</v>
      </c>
      <c r="E80">
        <f>1/POWER(1.25,3.5)</f>
        <v>0.4579467217919569</v>
      </c>
      <c r="F80">
        <f>1/POWER(1.25,4.5)</f>
        <v>0.36635737743356556</v>
      </c>
      <c r="G80">
        <f>1/POWER(1.25,5.5)</f>
        <v>0.29308590194685247</v>
      </c>
      <c r="H80">
        <f>1/POWER(1.25,6.5)</f>
        <v>0.2344687215574819</v>
      </c>
      <c r="I80">
        <f>1/POWER(1.25,7.5)</f>
        <v>0.18757497724598554</v>
      </c>
      <c r="J80">
        <f>1/POWER(1.25,8.5)</f>
        <v>0.15005998179678842</v>
      </c>
      <c r="K80">
        <f>1/POWER(1.25,9.5)</f>
        <v>0.12004798543743075</v>
      </c>
      <c r="L80">
        <f>1/POWER(1.25,10.5)</f>
        <v>0.09603838834994462</v>
      </c>
      <c r="M80">
        <f>1/POWER(1.25,11.5)</f>
        <v>0.0768307106799557</v>
      </c>
      <c r="N80">
        <f>1/POWER(1.25,12.5)</f>
        <v>0.06146456854396452</v>
      </c>
    </row>
    <row r="81" spans="1:14" ht="12.75">
      <c r="A81" t="s">
        <v>44</v>
      </c>
      <c r="B81">
        <f aca="true" t="shared" si="36" ref="B81:N81">B59*B80</f>
        <v>-113.44914490642932</v>
      </c>
      <c r="C81">
        <f t="shared" si="36"/>
        <v>-110.27986737492787</v>
      </c>
      <c r="D81">
        <f t="shared" si="36"/>
        <v>-42.316885481779735</v>
      </c>
      <c r="E81">
        <f t="shared" si="36"/>
        <v>9.87937438677536</v>
      </c>
      <c r="F81">
        <f t="shared" si="36"/>
        <v>11.120410266608841</v>
      </c>
      <c r="G81">
        <f t="shared" si="36"/>
        <v>11.595002442233795</v>
      </c>
      <c r="H81">
        <f t="shared" si="36"/>
        <v>14.0038696049006</v>
      </c>
      <c r="I81">
        <f t="shared" si="36"/>
        <v>11.561391619317881</v>
      </c>
      <c r="J81">
        <f t="shared" si="36"/>
        <v>9.524023994977394</v>
      </c>
      <c r="K81">
        <f t="shared" si="36"/>
        <v>7.827051684821374</v>
      </c>
      <c r="L81">
        <f t="shared" si="36"/>
        <v>6.4160839795635844</v>
      </c>
      <c r="M81">
        <f t="shared" si="36"/>
        <v>5.2453014195331775</v>
      </c>
      <c r="N81">
        <f t="shared" si="36"/>
        <v>3.699806988935925</v>
      </c>
    </row>
    <row r="82" spans="1:14" ht="12.75">
      <c r="A82" t="s">
        <v>45</v>
      </c>
      <c r="B82">
        <f aca="true" t="shared" si="37" ref="B82:N82">B60*B80</f>
        <v>-113.44914490642932</v>
      </c>
      <c r="C82">
        <f t="shared" si="37"/>
        <v>-201.03918330007133</v>
      </c>
      <c r="D82">
        <f t="shared" si="37"/>
        <v>-203.1482321218368</v>
      </c>
      <c r="E82">
        <f t="shared" si="37"/>
        <v>-152.63921131069407</v>
      </c>
      <c r="F82">
        <f t="shared" si="37"/>
        <v>-110.99095878194643</v>
      </c>
      <c r="G82">
        <f t="shared" si="37"/>
        <v>-77.19776458332336</v>
      </c>
      <c r="H82">
        <f t="shared" si="37"/>
        <v>-47.754342061758074</v>
      </c>
      <c r="I82">
        <f t="shared" si="37"/>
        <v>-26.642082030088577</v>
      </c>
      <c r="J82">
        <f t="shared" si="37"/>
        <v>-11.789641629093465</v>
      </c>
      <c r="K82">
        <f t="shared" si="37"/>
        <v>-1.6046616184533993</v>
      </c>
      <c r="L82">
        <f t="shared" si="37"/>
        <v>5.132354684800864</v>
      </c>
      <c r="M82">
        <f t="shared" si="37"/>
        <v>9.35118516737387</v>
      </c>
      <c r="N82">
        <f t="shared" si="37"/>
        <v>11.180755122835016</v>
      </c>
    </row>
    <row r="83" spans="1:4" ht="12.75">
      <c r="A83" t="s">
        <v>46</v>
      </c>
      <c r="B83">
        <f>B10*B80</f>
        <v>89.44271909999159</v>
      </c>
      <c r="C83">
        <f>C10*C80</f>
        <v>71.55417527999327</v>
      </c>
      <c r="D83">
        <f>D10*D80</f>
        <v>28.62167011199731</v>
      </c>
    </row>
    <row r="84" spans="1:4" ht="12.75">
      <c r="A84" t="s">
        <v>47</v>
      </c>
      <c r="B84">
        <f>B83</f>
        <v>89.44271909999159</v>
      </c>
      <c r="C84">
        <f>B84+C83</f>
        <v>160.99689437998487</v>
      </c>
      <c r="D84">
        <f>C84+D83</f>
        <v>189.61856449198217</v>
      </c>
    </row>
    <row r="85" spans="1:14" ht="12.75">
      <c r="A85" t="s">
        <v>48</v>
      </c>
      <c r="N85">
        <f>N82</f>
        <v>11.180755122835016</v>
      </c>
    </row>
    <row r="86" spans="1:14" ht="12.75">
      <c r="A86" t="s">
        <v>49</v>
      </c>
      <c r="N86">
        <f>N85/D84</f>
        <v>0.05896445399631629</v>
      </c>
    </row>
    <row r="87" ht="12.75">
      <c r="A87" t="s">
        <v>50</v>
      </c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94"/>
  <sheetViews>
    <sheetView zoomScalePageLayoutView="0" workbookViewId="0" topLeftCell="A67">
      <selection activeCell="B94" sqref="B94"/>
    </sheetView>
  </sheetViews>
  <sheetFormatPr defaultColWidth="9.00390625" defaultRowHeight="12.75"/>
  <sheetData>
    <row r="3" ht="12.75">
      <c r="A3" t="s">
        <v>1</v>
      </c>
    </row>
    <row r="5" spans="1:14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</row>
    <row r="6" ht="12.75">
      <c r="A6" t="s">
        <v>16</v>
      </c>
    </row>
    <row r="7" spans="1:14" ht="12.75">
      <c r="A7" t="s">
        <v>17</v>
      </c>
      <c r="B7">
        <v>0</v>
      </c>
      <c r="C7">
        <v>0</v>
      </c>
      <c r="D7">
        <v>200</v>
      </c>
      <c r="E7">
        <v>300</v>
      </c>
      <c r="F7">
        <f aca="true" t="shared" si="0" ref="F7:N7">E7</f>
        <v>300</v>
      </c>
      <c r="G7">
        <f t="shared" si="0"/>
        <v>300</v>
      </c>
      <c r="H7">
        <f t="shared" si="0"/>
        <v>300</v>
      </c>
      <c r="I7">
        <f t="shared" si="0"/>
        <v>300</v>
      </c>
      <c r="J7">
        <f t="shared" si="0"/>
        <v>300</v>
      </c>
      <c r="K7">
        <f t="shared" si="0"/>
        <v>300</v>
      </c>
      <c r="L7">
        <f t="shared" si="0"/>
        <v>300</v>
      </c>
      <c r="M7">
        <f t="shared" si="0"/>
        <v>300</v>
      </c>
      <c r="N7">
        <f t="shared" si="0"/>
        <v>300</v>
      </c>
    </row>
    <row r="8" spans="1:14" ht="12.75">
      <c r="A8" t="s">
        <v>18</v>
      </c>
      <c r="B8">
        <v>0</v>
      </c>
      <c r="C8">
        <v>0</v>
      </c>
      <c r="D8">
        <v>70</v>
      </c>
      <c r="E8">
        <v>100</v>
      </c>
      <c r="F8">
        <f aca="true" t="shared" si="1" ref="F8:N8">E8</f>
        <v>100</v>
      </c>
      <c r="G8">
        <f t="shared" si="1"/>
        <v>100</v>
      </c>
      <c r="H8">
        <f t="shared" si="1"/>
        <v>100</v>
      </c>
      <c r="I8">
        <f t="shared" si="1"/>
        <v>100</v>
      </c>
      <c r="J8">
        <f t="shared" si="1"/>
        <v>100</v>
      </c>
      <c r="K8">
        <f t="shared" si="1"/>
        <v>100</v>
      </c>
      <c r="L8">
        <f t="shared" si="1"/>
        <v>100</v>
      </c>
      <c r="M8">
        <f t="shared" si="1"/>
        <v>100</v>
      </c>
      <c r="N8">
        <f t="shared" si="1"/>
        <v>100</v>
      </c>
    </row>
    <row r="9" spans="1:14" ht="12.75">
      <c r="A9" t="s">
        <v>19</v>
      </c>
      <c r="B9">
        <v>0</v>
      </c>
      <c r="C9">
        <v>0</v>
      </c>
      <c r="D9">
        <v>100</v>
      </c>
      <c r="E9">
        <v>150</v>
      </c>
      <c r="F9">
        <f aca="true" t="shared" si="2" ref="F9:N9">E9</f>
        <v>150</v>
      </c>
      <c r="G9">
        <f t="shared" si="2"/>
        <v>150</v>
      </c>
      <c r="H9">
        <f t="shared" si="2"/>
        <v>150</v>
      </c>
      <c r="I9">
        <f t="shared" si="2"/>
        <v>150</v>
      </c>
      <c r="J9">
        <f t="shared" si="2"/>
        <v>150</v>
      </c>
      <c r="K9">
        <f t="shared" si="2"/>
        <v>150</v>
      </c>
      <c r="L9">
        <f t="shared" si="2"/>
        <v>150</v>
      </c>
      <c r="M9">
        <f t="shared" si="2"/>
        <v>150</v>
      </c>
      <c r="N9">
        <f t="shared" si="2"/>
        <v>150</v>
      </c>
    </row>
    <row r="10" spans="1:4" ht="12.75">
      <c r="A10" t="s">
        <v>20</v>
      </c>
      <c r="B10">
        <v>100</v>
      </c>
      <c r="C10">
        <v>100</v>
      </c>
      <c r="D10">
        <v>50</v>
      </c>
    </row>
    <row r="11" spans="1:8" ht="12.75">
      <c r="A11" t="s">
        <v>21</v>
      </c>
      <c r="B11">
        <f>B10</f>
        <v>100</v>
      </c>
      <c r="C11">
        <f>B11+C10</f>
        <v>200</v>
      </c>
      <c r="D11">
        <f>C11+D10</f>
        <v>250</v>
      </c>
      <c r="E11">
        <f>D11-E49+E50</f>
        <v>242.1064</v>
      </c>
      <c r="F11">
        <f>E11-F49+F50</f>
        <v>233.66024800000002</v>
      </c>
      <c r="G11">
        <f>F11-G49+G50</f>
        <v>224.66509612</v>
      </c>
      <c r="H11">
        <v>0</v>
      </c>
    </row>
    <row r="12" spans="1:14" ht="12.75">
      <c r="A12" t="s">
        <v>22</v>
      </c>
      <c r="F12">
        <v>1.07</v>
      </c>
      <c r="G12">
        <f aca="true" t="shared" si="3" ref="G12:N12">F12-0.005</f>
        <v>1.0650000000000002</v>
      </c>
      <c r="H12">
        <f t="shared" si="3"/>
        <v>1.0600000000000003</v>
      </c>
      <c r="I12">
        <f t="shared" si="3"/>
        <v>1.0550000000000004</v>
      </c>
      <c r="J12">
        <f t="shared" si="3"/>
        <v>1.0500000000000005</v>
      </c>
      <c r="K12">
        <f t="shared" si="3"/>
        <v>1.0450000000000006</v>
      </c>
      <c r="L12">
        <f t="shared" si="3"/>
        <v>1.0400000000000007</v>
      </c>
      <c r="M12">
        <f t="shared" si="3"/>
        <v>1.0350000000000008</v>
      </c>
      <c r="N12">
        <f t="shared" si="3"/>
        <v>1.030000000000001</v>
      </c>
    </row>
    <row r="13" ht="12.75">
      <c r="A13" t="s">
        <v>23</v>
      </c>
    </row>
    <row r="14" spans="1:14" ht="12.75">
      <c r="A14" t="s">
        <v>17</v>
      </c>
      <c r="D14">
        <f>E14*D7/E7</f>
        <v>21.426666666666666</v>
      </c>
      <c r="E14">
        <v>32.14</v>
      </c>
      <c r="F14">
        <f>E14*$F$12</f>
        <v>34.3898</v>
      </c>
      <c r="G14">
        <f>F14*$G$12</f>
        <v>36.62513700000001</v>
      </c>
      <c r="H14">
        <f>G14*$H$12</f>
        <v>38.82264522000002</v>
      </c>
      <c r="I14">
        <f>H14*$I$12</f>
        <v>40.957890707100034</v>
      </c>
      <c r="J14">
        <f>I14*$J$12</f>
        <v>43.005785242455055</v>
      </c>
      <c r="K14">
        <f>J14*$K$12</f>
        <v>44.94104557836556</v>
      </c>
      <c r="L14">
        <f>K14*$L$12</f>
        <v>46.738687401500215</v>
      </c>
      <c r="M14">
        <f>L14*$M$12</f>
        <v>48.37454146055276</v>
      </c>
      <c r="N14">
        <f>M14*$N$12</f>
        <v>49.82577770436939</v>
      </c>
    </row>
    <row r="15" spans="1:14" ht="12.75">
      <c r="A15" t="s">
        <v>18</v>
      </c>
      <c r="D15">
        <f>E15*D8/E8</f>
        <v>13.503</v>
      </c>
      <c r="E15">
        <v>19.29</v>
      </c>
      <c r="F15">
        <f>E15*$F$12</f>
        <v>20.6403</v>
      </c>
      <c r="G15">
        <f>F15*$G$12</f>
        <v>21.981919500000004</v>
      </c>
      <c r="H15">
        <f>G15*$H$12</f>
        <v>23.30083467000001</v>
      </c>
      <c r="I15">
        <f>H15*$I$12</f>
        <v>24.58238057685002</v>
      </c>
      <c r="J15">
        <f>I15*$J$12</f>
        <v>25.811499605692532</v>
      </c>
      <c r="K15">
        <f>J15*$K$12</f>
        <v>26.973017087948712</v>
      </c>
      <c r="L15">
        <f>K15*$L$12</f>
        <v>28.05193777146668</v>
      </c>
      <c r="M15">
        <f>L15*$M$12</f>
        <v>29.033755593468037</v>
      </c>
      <c r="N15">
        <f>M15*$N$12</f>
        <v>29.904768261272103</v>
      </c>
    </row>
    <row r="16" spans="1:14" ht="12.75">
      <c r="A16" t="s">
        <v>19</v>
      </c>
      <c r="D16">
        <f>E16*D9/E9</f>
        <v>18.58</v>
      </c>
      <c r="E16">
        <v>27.87</v>
      </c>
      <c r="F16">
        <f>E16*$F$12</f>
        <v>29.8209</v>
      </c>
      <c r="G16">
        <f>F16*$G$12</f>
        <v>31.75925850000001</v>
      </c>
      <c r="H16">
        <f>G16*$H$12</f>
        <v>33.664814010000015</v>
      </c>
      <c r="I16">
        <f>H16*$I$12</f>
        <v>35.51637878055003</v>
      </c>
      <c r="J16">
        <f>I16*$J$12</f>
        <v>37.292197719577544</v>
      </c>
      <c r="K16">
        <f>J16*$K$12</f>
        <v>38.97034661695856</v>
      </c>
      <c r="L16">
        <f>K16*$L$12</f>
        <v>40.52916048163693</v>
      </c>
      <c r="M16">
        <f>L16*$M$12</f>
        <v>41.94768109849426</v>
      </c>
      <c r="N16">
        <f>M16*$N$12</f>
        <v>43.206111531449125</v>
      </c>
    </row>
    <row r="17" ht="12.75">
      <c r="A17" t="s">
        <v>24</v>
      </c>
    </row>
    <row r="18" spans="1:14" ht="12.75">
      <c r="A18" t="s">
        <v>17</v>
      </c>
      <c r="D18">
        <f>E18*D7/E7</f>
        <v>50</v>
      </c>
      <c r="E18">
        <f>75</f>
        <v>75</v>
      </c>
      <c r="F18">
        <f>E18*$F$12</f>
        <v>80.25</v>
      </c>
      <c r="G18">
        <f>F18*$G$12</f>
        <v>85.46625000000002</v>
      </c>
      <c r="H18">
        <f>G18*$H$12</f>
        <v>90.59422500000004</v>
      </c>
      <c r="I18">
        <f>H18*$I$12</f>
        <v>95.57690737500008</v>
      </c>
      <c r="J18">
        <f>I18*$J$12</f>
        <v>100.35575274375013</v>
      </c>
      <c r="K18">
        <f>J18*$K$12</f>
        <v>104.87176161721895</v>
      </c>
      <c r="L18">
        <f>K18*$L$12</f>
        <v>109.06663208190778</v>
      </c>
      <c r="M18">
        <f>L18*$M$12</f>
        <v>112.88396420477464</v>
      </c>
      <c r="N18">
        <f>M18*$N$12</f>
        <v>116.27048313091798</v>
      </c>
    </row>
    <row r="19" spans="1:14" ht="12.75">
      <c r="A19" t="s">
        <v>18</v>
      </c>
      <c r="D19">
        <f>E19*D8/E8</f>
        <v>31.5</v>
      </c>
      <c r="E19">
        <f>45</f>
        <v>45</v>
      </c>
      <c r="F19">
        <f>E19*$F$12</f>
        <v>48.150000000000006</v>
      </c>
      <c r="G19">
        <f>F19*$G$12</f>
        <v>51.279750000000014</v>
      </c>
      <c r="H19">
        <f>G19*$H$12</f>
        <v>54.35653500000003</v>
      </c>
      <c r="I19">
        <f>H19*$I$12</f>
        <v>57.34614442500005</v>
      </c>
      <c r="J19">
        <f>I19*$J$12</f>
        <v>60.21345164625008</v>
      </c>
      <c r="K19">
        <f>J19*$K$12</f>
        <v>62.923056970331366</v>
      </c>
      <c r="L19">
        <f>K19*$L$12</f>
        <v>65.43997924914467</v>
      </c>
      <c r="M19">
        <f>L19*$M$12</f>
        <v>67.73037852286478</v>
      </c>
      <c r="N19">
        <f>M19*$N$12</f>
        <v>69.76228987855079</v>
      </c>
    </row>
    <row r="20" spans="1:14" ht="12.75">
      <c r="A20" t="s">
        <v>19</v>
      </c>
      <c r="D20">
        <f>E20*D9/E9</f>
        <v>43.333333333333336</v>
      </c>
      <c r="E20">
        <f>65</f>
        <v>65</v>
      </c>
      <c r="F20">
        <f>E20*$F$12</f>
        <v>69.55</v>
      </c>
      <c r="G20">
        <f>F20*$G$12</f>
        <v>74.07075</v>
      </c>
      <c r="H20">
        <f>G20*$H$12</f>
        <v>78.51499500000003</v>
      </c>
      <c r="I20">
        <f>H20*$I$12</f>
        <v>82.83331972500005</v>
      </c>
      <c r="J20">
        <f>I20*$J$12</f>
        <v>86.9749857112501</v>
      </c>
      <c r="K20">
        <f>J20*$K$12</f>
        <v>90.8888600682564</v>
      </c>
      <c r="L20">
        <f>K20*$L$12</f>
        <v>94.52441447098673</v>
      </c>
      <c r="M20">
        <f>L20*$M$12</f>
        <v>97.83276897747133</v>
      </c>
      <c r="N20">
        <f>M20*$N$12</f>
        <v>100.76775204679556</v>
      </c>
    </row>
    <row r="21" ht="12.75">
      <c r="A21" t="s">
        <v>25</v>
      </c>
    </row>
    <row r="22" spans="1:14" ht="12.75">
      <c r="A22" t="s">
        <v>17</v>
      </c>
      <c r="D22">
        <f aca="true" t="shared" si="4" ref="D22:N22">D18*1000/D7</f>
        <v>250</v>
      </c>
      <c r="E22">
        <f t="shared" si="4"/>
        <v>250</v>
      </c>
      <c r="F22">
        <f t="shared" si="4"/>
        <v>267.5</v>
      </c>
      <c r="G22">
        <f t="shared" si="4"/>
        <v>284.88750000000005</v>
      </c>
      <c r="H22">
        <f t="shared" si="4"/>
        <v>301.9807500000001</v>
      </c>
      <c r="I22">
        <f t="shared" si="4"/>
        <v>318.58969125000027</v>
      </c>
      <c r="J22">
        <f t="shared" si="4"/>
        <v>334.5191758125004</v>
      </c>
      <c r="K22">
        <f t="shared" si="4"/>
        <v>349.5725387240631</v>
      </c>
      <c r="L22">
        <f t="shared" si="4"/>
        <v>363.5554402730259</v>
      </c>
      <c r="M22">
        <f t="shared" si="4"/>
        <v>376.27988068258213</v>
      </c>
      <c r="N22">
        <f t="shared" si="4"/>
        <v>387.5682771030599</v>
      </c>
    </row>
    <row r="23" spans="1:14" ht="12.75">
      <c r="A23" t="s">
        <v>18</v>
      </c>
      <c r="D23">
        <f aca="true" t="shared" si="5" ref="D23:N23">D19*1000/D8</f>
        <v>450</v>
      </c>
      <c r="E23">
        <f t="shared" si="5"/>
        <v>450</v>
      </c>
      <c r="F23">
        <f t="shared" si="5"/>
        <v>481.50000000000006</v>
      </c>
      <c r="G23">
        <f t="shared" si="5"/>
        <v>512.7975000000001</v>
      </c>
      <c r="H23">
        <f t="shared" si="5"/>
        <v>543.5653500000003</v>
      </c>
      <c r="I23">
        <f t="shared" si="5"/>
        <v>573.4614442500005</v>
      </c>
      <c r="J23">
        <f t="shared" si="5"/>
        <v>602.1345164625008</v>
      </c>
      <c r="K23">
        <f t="shared" si="5"/>
        <v>629.2305697033137</v>
      </c>
      <c r="L23">
        <f t="shared" si="5"/>
        <v>654.3997924914468</v>
      </c>
      <c r="M23">
        <f t="shared" si="5"/>
        <v>677.3037852286477</v>
      </c>
      <c r="N23">
        <f t="shared" si="5"/>
        <v>697.6228987855079</v>
      </c>
    </row>
    <row r="24" spans="1:14" ht="12.75">
      <c r="A24" t="s">
        <v>19</v>
      </c>
      <c r="D24">
        <f aca="true" t="shared" si="6" ref="D24:N24">D20*1000/D9</f>
        <v>433.33333333333337</v>
      </c>
      <c r="E24">
        <f t="shared" si="6"/>
        <v>433.3333333333333</v>
      </c>
      <c r="F24">
        <f t="shared" si="6"/>
        <v>463.6666666666667</v>
      </c>
      <c r="G24">
        <f t="shared" si="6"/>
        <v>493.805</v>
      </c>
      <c r="H24">
        <f t="shared" si="6"/>
        <v>523.4333000000001</v>
      </c>
      <c r="I24">
        <f t="shared" si="6"/>
        <v>552.2221315000004</v>
      </c>
      <c r="J24">
        <f t="shared" si="6"/>
        <v>579.8332380750007</v>
      </c>
      <c r="K24">
        <f t="shared" si="6"/>
        <v>605.925733788376</v>
      </c>
      <c r="L24">
        <f t="shared" si="6"/>
        <v>630.1627631399115</v>
      </c>
      <c r="M24">
        <f t="shared" si="6"/>
        <v>652.2184598498089</v>
      </c>
      <c r="N24">
        <f t="shared" si="6"/>
        <v>671.7850136453037</v>
      </c>
    </row>
    <row r="25" ht="12.75">
      <c r="A25" t="s">
        <v>26</v>
      </c>
    </row>
    <row r="26" spans="1:14" ht="12.75">
      <c r="A26" t="s">
        <v>17</v>
      </c>
      <c r="D26">
        <f aca="true" t="shared" si="7" ref="D26:N26">D14+D18</f>
        <v>71.42666666666666</v>
      </c>
      <c r="E26">
        <f t="shared" si="7"/>
        <v>107.14</v>
      </c>
      <c r="F26">
        <f t="shared" si="7"/>
        <v>114.63980000000001</v>
      </c>
      <c r="G26">
        <f t="shared" si="7"/>
        <v>122.09138700000003</v>
      </c>
      <c r="H26">
        <f t="shared" si="7"/>
        <v>129.41687022000005</v>
      </c>
      <c r="I26">
        <f t="shared" si="7"/>
        <v>136.5347980821001</v>
      </c>
      <c r="J26">
        <f t="shared" si="7"/>
        <v>143.36153798620518</v>
      </c>
      <c r="K26">
        <f t="shared" si="7"/>
        <v>149.81280719558453</v>
      </c>
      <c r="L26">
        <f t="shared" si="7"/>
        <v>155.805319483408</v>
      </c>
      <c r="M26">
        <f t="shared" si="7"/>
        <v>161.2585056653274</v>
      </c>
      <c r="N26">
        <f t="shared" si="7"/>
        <v>166.09626083528738</v>
      </c>
    </row>
    <row r="27" spans="1:14" ht="12.75">
      <c r="A27" t="s">
        <v>18</v>
      </c>
      <c r="D27">
        <f aca="true" t="shared" si="8" ref="D27:N27">D15+D19</f>
        <v>45.003</v>
      </c>
      <c r="E27">
        <f t="shared" si="8"/>
        <v>64.28999999999999</v>
      </c>
      <c r="F27">
        <f t="shared" si="8"/>
        <v>68.7903</v>
      </c>
      <c r="G27">
        <f t="shared" si="8"/>
        <v>73.26166950000001</v>
      </c>
      <c r="H27">
        <f t="shared" si="8"/>
        <v>77.65736967000004</v>
      </c>
      <c r="I27">
        <f t="shared" si="8"/>
        <v>81.92852500185006</v>
      </c>
      <c r="J27">
        <f t="shared" si="8"/>
        <v>86.02495125194261</v>
      </c>
      <c r="K27">
        <f t="shared" si="8"/>
        <v>89.89607405828008</v>
      </c>
      <c r="L27">
        <f t="shared" si="8"/>
        <v>93.49191702061135</v>
      </c>
      <c r="M27">
        <f t="shared" si="8"/>
        <v>96.76413411633283</v>
      </c>
      <c r="N27">
        <f t="shared" si="8"/>
        <v>99.6670581398229</v>
      </c>
    </row>
    <row r="28" spans="1:15" ht="12.75">
      <c r="A28" t="s">
        <v>19</v>
      </c>
      <c r="D28">
        <f aca="true" t="shared" si="9" ref="D28:N28">D16+D20</f>
        <v>61.913333333333334</v>
      </c>
      <c r="E28">
        <f t="shared" si="9"/>
        <v>92.87</v>
      </c>
      <c r="F28">
        <f t="shared" si="9"/>
        <v>99.3709</v>
      </c>
      <c r="G28">
        <f t="shared" si="9"/>
        <v>105.83000850000002</v>
      </c>
      <c r="H28">
        <f t="shared" si="9"/>
        <v>112.17980901000004</v>
      </c>
      <c r="I28">
        <f t="shared" si="9"/>
        <v>118.34969850555008</v>
      </c>
      <c r="J28">
        <f t="shared" si="9"/>
        <v>124.26718343082764</v>
      </c>
      <c r="K28">
        <f t="shared" si="9"/>
        <v>129.85920668521496</v>
      </c>
      <c r="L28">
        <f t="shared" si="9"/>
        <v>135.05357495262365</v>
      </c>
      <c r="M28">
        <f t="shared" si="9"/>
        <v>139.78045007596558</v>
      </c>
      <c r="N28">
        <f t="shared" si="9"/>
        <v>143.97386357824467</v>
      </c>
      <c r="O28">
        <f>SUM(D26:N28)</f>
        <v>3597.806979965179</v>
      </c>
    </row>
    <row r="29" ht="12.75">
      <c r="A29" t="s">
        <v>27</v>
      </c>
    </row>
    <row r="30" spans="1:14" ht="12.75">
      <c r="A30" t="s">
        <v>17</v>
      </c>
      <c r="D30">
        <f aca="true" t="shared" si="10" ref="D30:N30">D26/(D26+D27+D28)*100</f>
        <v>40.05016550504739</v>
      </c>
      <c r="E30">
        <f t="shared" si="10"/>
        <v>40.53726825576996</v>
      </c>
      <c r="F30">
        <f t="shared" si="10"/>
        <v>40.53726825576995</v>
      </c>
      <c r="G30">
        <f t="shared" si="10"/>
        <v>40.53726825576996</v>
      </c>
      <c r="H30">
        <f t="shared" si="10"/>
        <v>40.53726825576995</v>
      </c>
      <c r="I30">
        <f t="shared" si="10"/>
        <v>40.537268255769966</v>
      </c>
      <c r="J30">
        <f t="shared" si="10"/>
        <v>40.53726825576996</v>
      </c>
      <c r="K30">
        <f t="shared" si="10"/>
        <v>40.53726825576997</v>
      </c>
      <c r="L30">
        <f t="shared" si="10"/>
        <v>40.537268255769966</v>
      </c>
      <c r="M30">
        <f t="shared" si="10"/>
        <v>40.53726825576996</v>
      </c>
      <c r="N30">
        <f t="shared" si="10"/>
        <v>40.537268255769966</v>
      </c>
    </row>
    <row r="31" spans="1:14" ht="12.75">
      <c r="A31" t="s">
        <v>18</v>
      </c>
      <c r="D31">
        <f aca="true" t="shared" si="11" ref="D31:N31">D27/(D27+D28+D26)*100</f>
        <v>25.233959280711883</v>
      </c>
      <c r="E31">
        <f t="shared" si="11"/>
        <v>24.324631101021563</v>
      </c>
      <c r="F31">
        <f t="shared" si="11"/>
        <v>24.324631101021563</v>
      </c>
      <c r="G31">
        <f t="shared" si="11"/>
        <v>24.324631101021566</v>
      </c>
      <c r="H31">
        <f t="shared" si="11"/>
        <v>24.324631101021566</v>
      </c>
      <c r="I31">
        <f t="shared" si="11"/>
        <v>24.32463110102157</v>
      </c>
      <c r="J31">
        <f t="shared" si="11"/>
        <v>24.32463110102157</v>
      </c>
      <c r="K31">
        <f t="shared" si="11"/>
        <v>24.32463110102157</v>
      </c>
      <c r="L31">
        <f t="shared" si="11"/>
        <v>24.32463110102157</v>
      </c>
      <c r="M31">
        <f t="shared" si="11"/>
        <v>24.32463110102157</v>
      </c>
      <c r="N31">
        <f t="shared" si="11"/>
        <v>24.32463110102157</v>
      </c>
    </row>
    <row r="32" spans="1:14" ht="12.75">
      <c r="A32" t="s">
        <v>19</v>
      </c>
      <c r="D32">
        <f aca="true" t="shared" si="12" ref="D32:N32">D28/(D26+D27+D28)*100</f>
        <v>34.715875214240725</v>
      </c>
      <c r="E32">
        <f t="shared" si="12"/>
        <v>35.138100643208475</v>
      </c>
      <c r="F32">
        <f t="shared" si="12"/>
        <v>35.13810064320847</v>
      </c>
      <c r="G32">
        <f t="shared" si="12"/>
        <v>35.138100643208475</v>
      </c>
      <c r="H32">
        <f t="shared" si="12"/>
        <v>35.13810064320847</v>
      </c>
      <c r="I32">
        <f t="shared" si="12"/>
        <v>35.138100643208475</v>
      </c>
      <c r="J32">
        <f t="shared" si="12"/>
        <v>35.13810064320847</v>
      </c>
      <c r="K32">
        <f t="shared" si="12"/>
        <v>35.13810064320847</v>
      </c>
      <c r="L32">
        <f t="shared" si="12"/>
        <v>35.13810064320847</v>
      </c>
      <c r="M32">
        <f t="shared" si="12"/>
        <v>35.13810064320847</v>
      </c>
      <c r="N32">
        <f t="shared" si="12"/>
        <v>35.13810064320847</v>
      </c>
    </row>
    <row r="33" ht="12.75">
      <c r="A33" t="s">
        <v>28</v>
      </c>
    </row>
    <row r="34" spans="1:14" ht="12.75">
      <c r="A34" t="s">
        <v>17</v>
      </c>
      <c r="D34">
        <f aca="true" t="shared" si="13" ref="D34:N34">D26/D7*1000</f>
        <v>357.1333333333333</v>
      </c>
      <c r="E34">
        <f t="shared" si="13"/>
        <v>357.1333333333334</v>
      </c>
      <c r="F34">
        <f t="shared" si="13"/>
        <v>382.1326666666667</v>
      </c>
      <c r="G34">
        <f t="shared" si="13"/>
        <v>406.9712900000001</v>
      </c>
      <c r="H34">
        <f t="shared" si="13"/>
        <v>431.38956740000015</v>
      </c>
      <c r="I34">
        <f t="shared" si="13"/>
        <v>455.1159936070004</v>
      </c>
      <c r="J34">
        <f t="shared" si="13"/>
        <v>477.87179328735056</v>
      </c>
      <c r="K34">
        <f t="shared" si="13"/>
        <v>499.37602398528173</v>
      </c>
      <c r="L34">
        <f t="shared" si="13"/>
        <v>519.3510649446933</v>
      </c>
      <c r="M34">
        <f t="shared" si="13"/>
        <v>537.528352217758</v>
      </c>
      <c r="N34">
        <f t="shared" si="13"/>
        <v>553.6542027842912</v>
      </c>
    </row>
    <row r="35" spans="1:14" ht="12.75">
      <c r="A35" t="s">
        <v>18</v>
      </c>
      <c r="D35">
        <f aca="true" t="shared" si="14" ref="D35:N35">D27/D8*1000</f>
        <v>642.9</v>
      </c>
      <c r="E35">
        <f t="shared" si="14"/>
        <v>642.8999999999999</v>
      </c>
      <c r="F35">
        <f t="shared" si="14"/>
        <v>687.903</v>
      </c>
      <c r="G35">
        <f t="shared" si="14"/>
        <v>732.6166950000002</v>
      </c>
      <c r="H35">
        <f t="shared" si="14"/>
        <v>776.5736967000004</v>
      </c>
      <c r="I35">
        <f t="shared" si="14"/>
        <v>819.2852500185006</v>
      </c>
      <c r="J35">
        <f t="shared" si="14"/>
        <v>860.249512519426</v>
      </c>
      <c r="K35">
        <f t="shared" si="14"/>
        <v>898.9607405828008</v>
      </c>
      <c r="L35">
        <f t="shared" si="14"/>
        <v>934.9191702061134</v>
      </c>
      <c r="M35">
        <f t="shared" si="14"/>
        <v>967.6413411633282</v>
      </c>
      <c r="N35">
        <f t="shared" si="14"/>
        <v>996.6705813982289</v>
      </c>
    </row>
    <row r="36" spans="1:14" ht="12.75">
      <c r="A36" t="s">
        <v>19</v>
      </c>
      <c r="D36">
        <f aca="true" t="shared" si="15" ref="D36:N36">D28/D9*1000</f>
        <v>619.1333333333333</v>
      </c>
      <c r="E36">
        <f t="shared" si="15"/>
        <v>619.1333333333333</v>
      </c>
      <c r="F36">
        <f t="shared" si="15"/>
        <v>662.4726666666667</v>
      </c>
      <c r="G36">
        <f t="shared" si="15"/>
        <v>705.5333900000002</v>
      </c>
      <c r="H36">
        <f t="shared" si="15"/>
        <v>747.8653934000002</v>
      </c>
      <c r="I36">
        <f t="shared" si="15"/>
        <v>788.9979900370006</v>
      </c>
      <c r="J36">
        <f t="shared" si="15"/>
        <v>828.447889538851</v>
      </c>
      <c r="K36">
        <f t="shared" si="15"/>
        <v>865.7280445680997</v>
      </c>
      <c r="L36">
        <f t="shared" si="15"/>
        <v>900.3571663508243</v>
      </c>
      <c r="M36">
        <f t="shared" si="15"/>
        <v>931.8696671731038</v>
      </c>
      <c r="N36">
        <f t="shared" si="15"/>
        <v>959.8257571882979</v>
      </c>
    </row>
    <row r="37" ht="12.75">
      <c r="A37" t="s">
        <v>29</v>
      </c>
    </row>
    <row r="38" spans="1:14" ht="12.75">
      <c r="A38" t="s">
        <v>17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</row>
    <row r="39" spans="1:14" ht="12.75">
      <c r="A39" t="s">
        <v>18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</row>
    <row r="40" spans="1:14" ht="12.75">
      <c r="A40" t="s">
        <v>19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>
        <v>30</v>
      </c>
      <c r="K40">
        <v>30</v>
      </c>
      <c r="L40">
        <v>30</v>
      </c>
      <c r="M40">
        <v>30</v>
      </c>
      <c r="N40">
        <v>30</v>
      </c>
    </row>
    <row r="41" ht="12.75">
      <c r="A41" t="s">
        <v>30</v>
      </c>
    </row>
    <row r="42" spans="1:14" ht="12.75">
      <c r="A42" t="s">
        <v>17</v>
      </c>
      <c r="D42">
        <f>D34*(1+D38/100)*0.9</f>
        <v>401.775</v>
      </c>
      <c r="E42">
        <f aca="true" t="shared" si="16" ref="E42:N42">E34*(1+E38/100)*0.9</f>
        <v>401.7750000000001</v>
      </c>
      <c r="F42">
        <f t="shared" si="16"/>
        <v>429.89925000000005</v>
      </c>
      <c r="G42">
        <f t="shared" si="16"/>
        <v>457.8427012500002</v>
      </c>
      <c r="H42">
        <f t="shared" si="16"/>
        <v>485.31326332500015</v>
      </c>
      <c r="I42">
        <f t="shared" si="16"/>
        <v>512.0054928078755</v>
      </c>
      <c r="J42">
        <f t="shared" si="16"/>
        <v>537.6057674482694</v>
      </c>
      <c r="K42">
        <f t="shared" si="16"/>
        <v>561.7980269834419</v>
      </c>
      <c r="L42">
        <f t="shared" si="16"/>
        <v>584.26994806278</v>
      </c>
      <c r="M42">
        <f t="shared" si="16"/>
        <v>604.7193962449777</v>
      </c>
      <c r="N42">
        <f t="shared" si="16"/>
        <v>622.8609781323277</v>
      </c>
    </row>
    <row r="43" spans="1:14" ht="12.75">
      <c r="A43" t="s">
        <v>18</v>
      </c>
      <c r="D43">
        <f aca="true" t="shared" si="17" ref="D43:N44">D35*(1+D39/100)*0.9</f>
        <v>694.3319999999999</v>
      </c>
      <c r="E43">
        <f t="shared" si="17"/>
        <v>694.3319999999999</v>
      </c>
      <c r="F43">
        <f t="shared" si="17"/>
        <v>742.93524</v>
      </c>
      <c r="G43">
        <f t="shared" si="17"/>
        <v>791.2260306000002</v>
      </c>
      <c r="H43">
        <f t="shared" si="17"/>
        <v>838.6995924360004</v>
      </c>
      <c r="I43">
        <f t="shared" si="17"/>
        <v>884.8280700199807</v>
      </c>
      <c r="J43">
        <f t="shared" si="17"/>
        <v>929.0694735209801</v>
      </c>
      <c r="K43">
        <f t="shared" si="17"/>
        <v>970.8775998294249</v>
      </c>
      <c r="L43">
        <f t="shared" si="17"/>
        <v>1009.7127038226026</v>
      </c>
      <c r="M43">
        <f t="shared" si="17"/>
        <v>1045.0526484563945</v>
      </c>
      <c r="N43">
        <f t="shared" si="17"/>
        <v>1076.4042279100872</v>
      </c>
    </row>
    <row r="44" spans="1:14" ht="12.75">
      <c r="A44" t="s">
        <v>19</v>
      </c>
      <c r="D44">
        <f t="shared" si="17"/>
        <v>724.386</v>
      </c>
      <c r="E44">
        <f t="shared" si="17"/>
        <v>724.386</v>
      </c>
      <c r="F44">
        <f t="shared" si="17"/>
        <v>775.09302</v>
      </c>
      <c r="G44">
        <f t="shared" si="17"/>
        <v>825.4740663000002</v>
      </c>
      <c r="H44">
        <f t="shared" si="17"/>
        <v>875.0025102780003</v>
      </c>
      <c r="I44">
        <f t="shared" si="17"/>
        <v>923.1276483432907</v>
      </c>
      <c r="J44">
        <f t="shared" si="17"/>
        <v>969.2840307604556</v>
      </c>
      <c r="K44">
        <f t="shared" si="17"/>
        <v>1012.9018121446767</v>
      </c>
      <c r="L44">
        <f t="shared" si="17"/>
        <v>1053.4178846304646</v>
      </c>
      <c r="M44">
        <f t="shared" si="17"/>
        <v>1090.2875105925316</v>
      </c>
      <c r="N44">
        <f t="shared" si="17"/>
        <v>1122.9961359103086</v>
      </c>
    </row>
    <row r="45" ht="12.75">
      <c r="A45" t="s">
        <v>31</v>
      </c>
    </row>
    <row r="46" spans="1:14" ht="12.75">
      <c r="A46" t="s">
        <v>17</v>
      </c>
      <c r="D46">
        <f aca="true" t="shared" si="18" ref="D46:N46">D42*D7/1000</f>
        <v>80.355</v>
      </c>
      <c r="E46">
        <f t="shared" si="18"/>
        <v>120.53250000000003</v>
      </c>
      <c r="F46">
        <f t="shared" si="18"/>
        <v>128.969775</v>
      </c>
      <c r="G46">
        <f t="shared" si="18"/>
        <v>137.35281037500005</v>
      </c>
      <c r="H46">
        <f t="shared" si="18"/>
        <v>145.59397899750005</v>
      </c>
      <c r="I46">
        <f t="shared" si="18"/>
        <v>153.60164784236264</v>
      </c>
      <c r="J46">
        <f t="shared" si="18"/>
        <v>161.28173023448082</v>
      </c>
      <c r="K46">
        <f t="shared" si="18"/>
        <v>168.53940809503257</v>
      </c>
      <c r="L46">
        <f t="shared" si="18"/>
        <v>175.280984418834</v>
      </c>
      <c r="M46">
        <f t="shared" si="18"/>
        <v>181.41581887349332</v>
      </c>
      <c r="N46">
        <f t="shared" si="18"/>
        <v>186.8582934396983</v>
      </c>
    </row>
    <row r="47" spans="1:14" ht="12.75">
      <c r="A47" t="s">
        <v>18</v>
      </c>
      <c r="D47">
        <f aca="true" t="shared" si="19" ref="D47:N47">D43*D8/1000</f>
        <v>48.60323999999999</v>
      </c>
      <c r="E47">
        <f t="shared" si="19"/>
        <v>69.43319999999999</v>
      </c>
      <c r="F47">
        <f t="shared" si="19"/>
        <v>74.293524</v>
      </c>
      <c r="G47">
        <f t="shared" si="19"/>
        <v>79.12260306000002</v>
      </c>
      <c r="H47">
        <f t="shared" si="19"/>
        <v>83.86995924360004</v>
      </c>
      <c r="I47">
        <f t="shared" si="19"/>
        <v>88.48280700199807</v>
      </c>
      <c r="J47">
        <f t="shared" si="19"/>
        <v>92.90694735209802</v>
      </c>
      <c r="K47">
        <f t="shared" si="19"/>
        <v>97.08775998294249</v>
      </c>
      <c r="L47">
        <f t="shared" si="19"/>
        <v>100.97127038226026</v>
      </c>
      <c r="M47">
        <f t="shared" si="19"/>
        <v>104.50526484563946</v>
      </c>
      <c r="N47">
        <f t="shared" si="19"/>
        <v>107.64042279100872</v>
      </c>
    </row>
    <row r="48" spans="1:15" ht="12.75">
      <c r="A48" t="s">
        <v>19</v>
      </c>
      <c r="D48">
        <f aca="true" t="shared" si="20" ref="D48:N48">D44*D9/1000</f>
        <v>72.4386</v>
      </c>
      <c r="E48">
        <f t="shared" si="20"/>
        <v>108.6579</v>
      </c>
      <c r="F48">
        <f t="shared" si="20"/>
        <v>116.26395300000001</v>
      </c>
      <c r="G48">
        <f t="shared" si="20"/>
        <v>123.82110994500003</v>
      </c>
      <c r="H48">
        <f t="shared" si="20"/>
        <v>131.25037654170004</v>
      </c>
      <c r="I48">
        <f t="shared" si="20"/>
        <v>138.4691472514936</v>
      </c>
      <c r="J48">
        <f t="shared" si="20"/>
        <v>145.39260461406835</v>
      </c>
      <c r="K48">
        <f t="shared" si="20"/>
        <v>151.9352718217015</v>
      </c>
      <c r="L48">
        <f t="shared" si="20"/>
        <v>158.0126826945697</v>
      </c>
      <c r="M48">
        <f t="shared" si="20"/>
        <v>163.54312658887974</v>
      </c>
      <c r="N48">
        <f t="shared" si="20"/>
        <v>168.44942038654628</v>
      </c>
      <c r="O48">
        <f>SUM(D46:N48)</f>
        <v>4064.933138779908</v>
      </c>
    </row>
    <row r="49" spans="1:15" ht="12.75">
      <c r="A49" t="s">
        <v>32</v>
      </c>
      <c r="D49">
        <f aca="true" t="shared" si="21" ref="D49:N49">(D46+D47+D48)-(D26+D27+D28)</f>
        <v>23.053840000000008</v>
      </c>
      <c r="E49">
        <f t="shared" si="21"/>
        <v>34.3236</v>
      </c>
      <c r="F49">
        <f t="shared" si="21"/>
        <v>36.72625199999999</v>
      </c>
      <c r="G49">
        <f t="shared" si="21"/>
        <v>39.113458380000054</v>
      </c>
      <c r="H49">
        <f t="shared" si="21"/>
        <v>41.460265882799945</v>
      </c>
      <c r="I49">
        <f t="shared" si="21"/>
        <v>43.74058050635409</v>
      </c>
      <c r="J49">
        <f t="shared" si="21"/>
        <v>45.92760953167169</v>
      </c>
      <c r="K49">
        <f t="shared" si="21"/>
        <v>47.99435196059699</v>
      </c>
      <c r="L49">
        <f t="shared" si="21"/>
        <v>49.91412603902097</v>
      </c>
      <c r="M49">
        <f t="shared" si="21"/>
        <v>51.661120450386704</v>
      </c>
      <c r="N49">
        <f t="shared" si="21"/>
        <v>53.210954063898384</v>
      </c>
      <c r="O49">
        <f>SUM(D49:N49)</f>
        <v>467.12615881472885</v>
      </c>
    </row>
    <row r="50" spans="1:14" ht="12.75">
      <c r="A50" t="s">
        <v>33</v>
      </c>
      <c r="D50">
        <f aca="true" t="shared" si="22" ref="D50:N50">(D26+D27+D28)/10</f>
        <v>17.8343</v>
      </c>
      <c r="E50">
        <f t="shared" si="22"/>
        <v>26.43</v>
      </c>
      <c r="F50">
        <f t="shared" si="22"/>
        <v>28.280100000000004</v>
      </c>
      <c r="G50">
        <f t="shared" si="22"/>
        <v>30.118306500000006</v>
      </c>
      <c r="H50">
        <f t="shared" si="22"/>
        <v>31.925404890000017</v>
      </c>
      <c r="I50">
        <f t="shared" si="22"/>
        <v>33.681302158950025</v>
      </c>
      <c r="J50">
        <f t="shared" si="22"/>
        <v>35.36536726689754</v>
      </c>
      <c r="K50">
        <f t="shared" si="22"/>
        <v>36.95680879390795</v>
      </c>
      <c r="L50">
        <f t="shared" si="22"/>
        <v>38.4350811456643</v>
      </c>
      <c r="M50">
        <f t="shared" si="22"/>
        <v>39.78030898576258</v>
      </c>
      <c r="N50">
        <f t="shared" si="22"/>
        <v>40.9737182553355</v>
      </c>
    </row>
    <row r="51" spans="1:14" ht="12.75">
      <c r="A51" t="s">
        <v>34</v>
      </c>
      <c r="B51">
        <f aca="true" t="shared" si="23" ref="B51:G51">B11*0.2</f>
        <v>20</v>
      </c>
      <c r="C51">
        <f t="shared" si="23"/>
        <v>40</v>
      </c>
      <c r="D51">
        <f t="shared" si="23"/>
        <v>50</v>
      </c>
      <c r="E51">
        <f t="shared" si="23"/>
        <v>48.42128</v>
      </c>
      <c r="F51">
        <f t="shared" si="23"/>
        <v>46.73204960000001</v>
      </c>
      <c r="G51">
        <f t="shared" si="23"/>
        <v>44.933019224</v>
      </c>
      <c r="H51">
        <v>0</v>
      </c>
      <c r="I51">
        <f aca="true" t="shared" si="24" ref="I51:N51">I11*0.2</f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>
        <f t="shared" si="24"/>
        <v>0</v>
      </c>
    </row>
    <row r="52" spans="1:4" ht="12.75">
      <c r="A52" t="s">
        <v>35</v>
      </c>
      <c r="B52">
        <f>-(B49-B50-B51)</f>
        <v>20</v>
      </c>
      <c r="C52">
        <f>-(C49-C50-C51)+B53</f>
        <v>44</v>
      </c>
      <c r="D52">
        <f>-(D49-D50-D51)+C53</f>
        <v>53.14045999999999</v>
      </c>
    </row>
    <row r="53" spans="1:4" ht="12.75">
      <c r="A53" t="s">
        <v>36</v>
      </c>
      <c r="B53">
        <f>B52*0.2</f>
        <v>4</v>
      </c>
      <c r="C53">
        <f>C52*0.19</f>
        <v>8.36</v>
      </c>
      <c r="D53">
        <f>D52*0.18</f>
        <v>9.565282799999999</v>
      </c>
    </row>
    <row r="54" spans="1:15" ht="12.75">
      <c r="A54" t="s">
        <v>37</v>
      </c>
      <c r="B54">
        <f>-B51-B53</f>
        <v>-24</v>
      </c>
      <c r="C54">
        <f>-C51-C53</f>
        <v>-48.36</v>
      </c>
      <c r="D54">
        <f aca="true" t="shared" si="25" ref="D54:N54">D49-D50-D51-D53</f>
        <v>-54.34574279999999</v>
      </c>
      <c r="E54">
        <f t="shared" si="25"/>
        <v>-40.527680000000004</v>
      </c>
      <c r="F54">
        <f t="shared" si="25"/>
        <v>-38.28589760000003</v>
      </c>
      <c r="G54">
        <f t="shared" si="25"/>
        <v>-35.937867343999955</v>
      </c>
      <c r="H54">
        <f t="shared" si="25"/>
        <v>9.534860992799928</v>
      </c>
      <c r="I54">
        <f t="shared" si="25"/>
        <v>10.059278347404067</v>
      </c>
      <c r="J54">
        <f t="shared" si="25"/>
        <v>10.562242264774149</v>
      </c>
      <c r="K54">
        <f t="shared" si="25"/>
        <v>11.037543166689034</v>
      </c>
      <c r="L54">
        <f t="shared" si="25"/>
        <v>11.479044893356672</v>
      </c>
      <c r="M54">
        <f t="shared" si="25"/>
        <v>11.880811464624124</v>
      </c>
      <c r="N54">
        <f t="shared" si="25"/>
        <v>12.237235808562886</v>
      </c>
      <c r="O54">
        <f>SUM(B54:N54)</f>
        <v>-164.66617080578914</v>
      </c>
    </row>
    <row r="55" spans="1:14" ht="12.75">
      <c r="A55" t="s">
        <v>38</v>
      </c>
      <c r="B55">
        <v>0</v>
      </c>
      <c r="C55">
        <v>0</v>
      </c>
      <c r="D55">
        <v>0</v>
      </c>
      <c r="E55">
        <f aca="true" t="shared" si="26" ref="E55:N55">E54*0.3</f>
        <v>-12.158304000000001</v>
      </c>
      <c r="F55">
        <f t="shared" si="26"/>
        <v>-11.485769280000008</v>
      </c>
      <c r="G55">
        <f t="shared" si="26"/>
        <v>-10.781360203199986</v>
      </c>
      <c r="H55">
        <f t="shared" si="26"/>
        <v>2.8604582978399784</v>
      </c>
      <c r="I55">
        <f t="shared" si="26"/>
        <v>3.01778350422122</v>
      </c>
      <c r="J55">
        <f t="shared" si="26"/>
        <v>3.1686726794322446</v>
      </c>
      <c r="K55">
        <f t="shared" si="26"/>
        <v>3.31126295000671</v>
      </c>
      <c r="L55">
        <f t="shared" si="26"/>
        <v>3.4437134680070014</v>
      </c>
      <c r="M55">
        <f t="shared" si="26"/>
        <v>3.564243439387237</v>
      </c>
      <c r="N55">
        <f t="shared" si="26"/>
        <v>3.6711707425688656</v>
      </c>
    </row>
    <row r="56" spans="1:15" ht="12.75">
      <c r="A56" t="s">
        <v>39</v>
      </c>
      <c r="B56">
        <f aca="true" t="shared" si="27" ref="B56:N56">B54-B55</f>
        <v>-24</v>
      </c>
      <c r="C56">
        <f t="shared" si="27"/>
        <v>-48.36</v>
      </c>
      <c r="D56">
        <f t="shared" si="27"/>
        <v>-54.34574279999999</v>
      </c>
      <c r="E56">
        <f t="shared" si="27"/>
        <v>-28.369376000000003</v>
      </c>
      <c r="F56">
        <f t="shared" si="27"/>
        <v>-26.80012832000002</v>
      </c>
      <c r="G56">
        <f t="shared" si="27"/>
        <v>-25.156507140799967</v>
      </c>
      <c r="H56">
        <f t="shared" si="27"/>
        <v>6.67440269495995</v>
      </c>
      <c r="I56">
        <f t="shared" si="27"/>
        <v>7.041494843182847</v>
      </c>
      <c r="J56">
        <f t="shared" si="27"/>
        <v>7.393569585341904</v>
      </c>
      <c r="K56">
        <f t="shared" si="27"/>
        <v>7.726280216682324</v>
      </c>
      <c r="L56">
        <f t="shared" si="27"/>
        <v>8.035331425349671</v>
      </c>
      <c r="M56">
        <f t="shared" si="27"/>
        <v>8.316568025236887</v>
      </c>
      <c r="N56">
        <f t="shared" si="27"/>
        <v>8.566065065994021</v>
      </c>
      <c r="O56">
        <f>SUM(B56:N56)</f>
        <v>-153.27804240405237</v>
      </c>
    </row>
    <row r="57" spans="1:14" ht="12.75">
      <c r="A57" t="s">
        <v>40</v>
      </c>
      <c r="C57">
        <f>0.208*3</f>
        <v>0.624</v>
      </c>
      <c r="D57">
        <f>0.208*12+1.875*5</f>
        <v>11.871</v>
      </c>
      <c r="E57">
        <f aca="true" t="shared" si="28" ref="E57:M57">0.208*12+1.875*12</f>
        <v>24.996</v>
      </c>
      <c r="F57">
        <f t="shared" si="28"/>
        <v>24.996</v>
      </c>
      <c r="G57">
        <f t="shared" si="28"/>
        <v>24.996</v>
      </c>
      <c r="H57">
        <f t="shared" si="28"/>
        <v>24.996</v>
      </c>
      <c r="I57">
        <f t="shared" si="28"/>
        <v>24.996</v>
      </c>
      <c r="J57">
        <f t="shared" si="28"/>
        <v>24.996</v>
      </c>
      <c r="K57">
        <f t="shared" si="28"/>
        <v>24.996</v>
      </c>
      <c r="L57">
        <f t="shared" si="28"/>
        <v>24.996</v>
      </c>
      <c r="M57">
        <f t="shared" si="28"/>
        <v>24.996</v>
      </c>
      <c r="N57">
        <f>1.875*7+0.208*12</f>
        <v>15.621</v>
      </c>
    </row>
    <row r="59" spans="1:14" ht="12.75">
      <c r="A59" t="s">
        <v>41</v>
      </c>
      <c r="B59">
        <f>-B10+B56</f>
        <v>-124</v>
      </c>
      <c r="C59">
        <f aca="true" t="shared" si="29" ref="C59:N59">-C10+C56+C57</f>
        <v>-147.73600000000002</v>
      </c>
      <c r="D59">
        <f t="shared" si="29"/>
        <v>-92.47474279999999</v>
      </c>
      <c r="E59">
        <f t="shared" si="29"/>
        <v>-3.373376000000004</v>
      </c>
      <c r="F59">
        <f t="shared" si="29"/>
        <v>-1.8041283200000215</v>
      </c>
      <c r="G59">
        <f t="shared" si="29"/>
        <v>-0.16050714079996808</v>
      </c>
      <c r="H59">
        <f t="shared" si="29"/>
        <v>31.670402694959947</v>
      </c>
      <c r="I59">
        <f t="shared" si="29"/>
        <v>32.03749484318285</v>
      </c>
      <c r="J59">
        <f t="shared" si="29"/>
        <v>32.3895695853419</v>
      </c>
      <c r="K59">
        <f t="shared" si="29"/>
        <v>32.72228021668232</v>
      </c>
      <c r="L59">
        <f t="shared" si="29"/>
        <v>33.03133142534967</v>
      </c>
      <c r="M59">
        <f t="shared" si="29"/>
        <v>33.312568025236885</v>
      </c>
      <c r="N59">
        <f t="shared" si="29"/>
        <v>24.18706506599402</v>
      </c>
    </row>
    <row r="60" spans="1:14" ht="12.75">
      <c r="A60" t="s">
        <v>42</v>
      </c>
      <c r="B60">
        <f>B59</f>
        <v>-124</v>
      </c>
      <c r="C60">
        <f aca="true" t="shared" si="30" ref="C60:N60">C59+B60</f>
        <v>-271.736</v>
      </c>
      <c r="D60">
        <f t="shared" si="30"/>
        <v>-364.2107428</v>
      </c>
      <c r="E60">
        <f t="shared" si="30"/>
        <v>-367.5841188</v>
      </c>
      <c r="F60">
        <f t="shared" si="30"/>
        <v>-369.38824712</v>
      </c>
      <c r="G60">
        <f t="shared" si="30"/>
        <v>-369.54875426079997</v>
      </c>
      <c r="H60">
        <f t="shared" si="30"/>
        <v>-337.87835156584003</v>
      </c>
      <c r="I60">
        <f t="shared" si="30"/>
        <v>-305.8408567226572</v>
      </c>
      <c r="J60">
        <f t="shared" si="30"/>
        <v>-273.45128713731526</v>
      </c>
      <c r="K60">
        <f t="shared" si="30"/>
        <v>-240.72900692063294</v>
      </c>
      <c r="L60">
        <f t="shared" si="30"/>
        <v>-207.69767549528328</v>
      </c>
      <c r="M60">
        <f t="shared" si="30"/>
        <v>-174.3851074700464</v>
      </c>
      <c r="N60">
        <f t="shared" si="30"/>
        <v>-150.1980424040524</v>
      </c>
    </row>
    <row r="62" spans="1:14" ht="12.75">
      <c r="A62" t="s">
        <v>43</v>
      </c>
      <c r="B62">
        <f>1/POWER(1.2,0.5)</f>
        <v>0.9128709291752769</v>
      </c>
      <c r="C62">
        <f>1/POWER(1.2,1.5)</f>
        <v>0.7607257743127307</v>
      </c>
      <c r="D62">
        <f>1/POWER(1.2,2.5)</f>
        <v>0.633938145260609</v>
      </c>
      <c r="E62">
        <f>1/POWER(1.2,3.5)</f>
        <v>0.5282817877171742</v>
      </c>
      <c r="F62">
        <f>1/POWER(1.2,4.5)</f>
        <v>0.44023482309764517</v>
      </c>
      <c r="G62">
        <f>1/POWER(1.2,5.5)</f>
        <v>0.36686235258137107</v>
      </c>
      <c r="H62">
        <f>1/POWER(1.2,6.5)</f>
        <v>0.3057186271511425</v>
      </c>
      <c r="I62">
        <f>1/POWER(1.2,7.5)</f>
        <v>0.25476552262595203</v>
      </c>
      <c r="J62">
        <f>1/POWER(1.2,8.5)</f>
        <v>0.21230460218829345</v>
      </c>
      <c r="K62">
        <f>1/POWER(1.2,9.5)</f>
        <v>0.17692050182357785</v>
      </c>
      <c r="L62">
        <f>1/POWER(1.2,10.5)</f>
        <v>0.14743375151964822</v>
      </c>
      <c r="M62">
        <f>1/POWER(1.2,11.5)</f>
        <v>0.12286145959970685</v>
      </c>
      <c r="N62">
        <f>1/POWER(1.2,12.5)</f>
        <v>0.1023845496664224</v>
      </c>
    </row>
    <row r="63" spans="1:14" ht="12.75">
      <c r="A63" t="s">
        <v>44</v>
      </c>
      <c r="B63">
        <f aca="true" t="shared" si="31" ref="B63:N63">B59*B62</f>
        <v>-113.19599521773434</v>
      </c>
      <c r="C63">
        <f t="shared" si="31"/>
        <v>-112.3865829938656</v>
      </c>
      <c r="D63">
        <f t="shared" si="31"/>
        <v>-58.623266934083844</v>
      </c>
      <c r="E63">
        <f t="shared" si="31"/>
        <v>-1.782093103922212</v>
      </c>
      <c r="F63">
        <f t="shared" si="31"/>
        <v>-0.7942401118006612</v>
      </c>
      <c r="G63">
        <f t="shared" si="31"/>
        <v>-0.05888402727998566</v>
      </c>
      <c r="H63">
        <f t="shared" si="31"/>
        <v>9.682232033226999</v>
      </c>
      <c r="I63">
        <f t="shared" si="31"/>
        <v>8.162049117349722</v>
      </c>
      <c r="J63">
        <f t="shared" si="31"/>
        <v>6.876454685866062</v>
      </c>
      <c r="K63">
        <f t="shared" si="31"/>
        <v>5.78924223674717</v>
      </c>
      <c r="L63">
        <f t="shared" si="31"/>
        <v>4.869933109728151</v>
      </c>
      <c r="M63">
        <f t="shared" si="31"/>
        <v>4.092830730595128</v>
      </c>
      <c r="N63">
        <f t="shared" si="31"/>
        <v>2.476381764534255</v>
      </c>
    </row>
    <row r="64" spans="1:14" ht="12.75">
      <c r="A64" t="s">
        <v>45</v>
      </c>
      <c r="B64">
        <f aca="true" t="shared" si="32" ref="B64:N64">B60*B62</f>
        <v>-113.19599521773434</v>
      </c>
      <c r="C64">
        <f t="shared" si="32"/>
        <v>-206.71657900864417</v>
      </c>
      <c r="D64">
        <f t="shared" si="32"/>
        <v>-230.8870827746207</v>
      </c>
      <c r="E64">
        <f t="shared" si="32"/>
        <v>-194.18799541610613</v>
      </c>
      <c r="F64">
        <f t="shared" si="32"/>
        <v>-162.61756962522244</v>
      </c>
      <c r="G64">
        <f t="shared" si="32"/>
        <v>-135.57352538163204</v>
      </c>
      <c r="H64">
        <f t="shared" si="32"/>
        <v>-103.2957057847997</v>
      </c>
      <c r="I64">
        <f t="shared" si="32"/>
        <v>-77.91770570331667</v>
      </c>
      <c r="J64">
        <f t="shared" si="32"/>
        <v>-58.05496673356452</v>
      </c>
      <c r="K64">
        <f t="shared" si="32"/>
        <v>-42.58989670788993</v>
      </c>
      <c r="L64">
        <f t="shared" si="32"/>
        <v>-30.621647480180123</v>
      </c>
      <c r="M64">
        <f t="shared" si="32"/>
        <v>-21.425208836221643</v>
      </c>
      <c r="N64">
        <f t="shared" si="32"/>
        <v>-15.377958932317119</v>
      </c>
    </row>
    <row r="65" spans="1:4" ht="12.75">
      <c r="A65" t="s">
        <v>46</v>
      </c>
      <c r="B65">
        <f>B10*B62</f>
        <v>91.28709291752769</v>
      </c>
      <c r="C65">
        <f>C10*C62</f>
        <v>76.07257743127307</v>
      </c>
      <c r="D65">
        <f>D10*D62</f>
        <v>31.69690726303045</v>
      </c>
    </row>
    <row r="66" spans="1:4" ht="12.75">
      <c r="A66" t="s">
        <v>47</v>
      </c>
      <c r="B66">
        <f>B65</f>
        <v>91.28709291752769</v>
      </c>
      <c r="C66">
        <f>B66+C65</f>
        <v>167.35967034880076</v>
      </c>
      <c r="D66">
        <f>C66+D65</f>
        <v>199.05657761183122</v>
      </c>
    </row>
    <row r="67" spans="1:14" ht="12.75">
      <c r="A67" t="s">
        <v>48</v>
      </c>
      <c r="N67">
        <f>N64</f>
        <v>-15.377958932317119</v>
      </c>
    </row>
    <row r="68" spans="1:14" ht="12.75">
      <c r="A68" t="s">
        <v>49</v>
      </c>
      <c r="N68">
        <f>N67/D66</f>
        <v>-0.0772542114247779</v>
      </c>
    </row>
    <row r="69" spans="1:14" ht="12.75">
      <c r="A69" t="s">
        <v>50</v>
      </c>
      <c r="N69">
        <v>6.129</v>
      </c>
    </row>
    <row r="71" spans="1:14" ht="12.75">
      <c r="A71" t="s">
        <v>43</v>
      </c>
      <c r="B71">
        <f>1/POWER(1.15,0.5)</f>
        <v>0.9325048082403138</v>
      </c>
      <c r="C71">
        <f>1/POWER(1.15,1.5)</f>
        <v>0.8108737462959251</v>
      </c>
      <c r="D71">
        <f>1/POWER(1.15,2.5)</f>
        <v>0.7051076054747175</v>
      </c>
      <c r="E71">
        <f>1/POWER(1.15,3.5)</f>
        <v>0.6131370482388848</v>
      </c>
      <c r="F71">
        <f>1/POWER(1.15,4.5)</f>
        <v>0.5331626506425087</v>
      </c>
      <c r="G71">
        <f>1/POWER(1.15,5.5)</f>
        <v>0.4636196962108771</v>
      </c>
      <c r="H71">
        <f>1/POWER(1.15,6.5)</f>
        <v>0.40314756192250184</v>
      </c>
      <c r="I71">
        <f>1/POWER(1.15,7.5)</f>
        <v>0.35056309732391466</v>
      </c>
      <c r="J71">
        <f>1/POWER(1.15,8.5)</f>
        <v>0.30483747593383886</v>
      </c>
      <c r="K71">
        <f>1/POWER(1.15,9.5)</f>
        <v>0.26507606602942513</v>
      </c>
      <c r="L71">
        <f>1/POWER(1.15,10.5)</f>
        <v>0.23050092698210878</v>
      </c>
      <c r="M71">
        <f>1/POWER(1.15,11.5)</f>
        <v>0.20043558868009465</v>
      </c>
      <c r="N71">
        <f>1/POWER(1.15,12.5)</f>
        <v>0.17429181624356058</v>
      </c>
    </row>
    <row r="72" spans="1:14" ht="12.75">
      <c r="A72" t="s">
        <v>44</v>
      </c>
      <c r="B72">
        <f aca="true" t="shared" si="33" ref="B72:N72">B59*B71</f>
        <v>-115.63059622179891</v>
      </c>
      <c r="C72">
        <f t="shared" si="33"/>
        <v>-119.7952437827748</v>
      </c>
      <c r="D72">
        <f t="shared" si="33"/>
        <v>-65.20464446259837</v>
      </c>
      <c r="E72">
        <f t="shared" si="33"/>
        <v>-2.068341803239899</v>
      </c>
      <c r="F72">
        <f t="shared" si="33"/>
        <v>-0.9618938371904275</v>
      </c>
      <c r="G72">
        <f t="shared" si="33"/>
        <v>-0.07441427185735769</v>
      </c>
      <c r="H72">
        <f t="shared" si="33"/>
        <v>12.767845631576934</v>
      </c>
      <c r="I72">
        <f t="shared" si="33"/>
        <v>11.231163422725123</v>
      </c>
      <c r="J72">
        <f t="shared" si="33"/>
        <v>9.873554638979062</v>
      </c>
      <c r="K72">
        <f t="shared" si="33"/>
        <v>8.673893311350634</v>
      </c>
      <c r="L72">
        <f t="shared" si="33"/>
        <v>7.613752512996359</v>
      </c>
      <c r="M72">
        <f t="shared" si="33"/>
        <v>6.677024182584053</v>
      </c>
      <c r="N72">
        <f t="shared" si="33"/>
        <v>4.215607499953273</v>
      </c>
    </row>
    <row r="73" spans="1:14" ht="12.75">
      <c r="A73" t="s">
        <v>45</v>
      </c>
      <c r="B73">
        <f aca="true" t="shared" si="34" ref="B73:N73">B60*B71</f>
        <v>-115.63059622179891</v>
      </c>
      <c r="C73">
        <f t="shared" si="34"/>
        <v>-220.3435883234695</v>
      </c>
      <c r="D73">
        <f t="shared" si="34"/>
        <v>-256.8077647438762</v>
      </c>
      <c r="E73">
        <f t="shared" si="34"/>
        <v>-225.37944158052358</v>
      </c>
      <c r="F73">
        <f t="shared" si="34"/>
        <v>-196.94401695068922</v>
      </c>
      <c r="G73">
        <f t="shared" si="34"/>
        <v>-171.33008118550015</v>
      </c>
      <c r="H73">
        <f t="shared" si="34"/>
        <v>-136.21483366016236</v>
      </c>
      <c r="I73">
        <f t="shared" si="34"/>
        <v>-107.21651802089431</v>
      </c>
      <c r="J73">
        <f t="shared" si="34"/>
        <v>-83.3582001617986</v>
      </c>
      <c r="K73">
        <f t="shared" si="34"/>
        <v>-63.811498133691636</v>
      </c>
      <c r="L73">
        <f t="shared" si="34"/>
        <v>-47.874506733692016</v>
      </c>
      <c r="M73">
        <f t="shared" si="34"/>
        <v>-34.95298167280032</v>
      </c>
      <c r="N73">
        <f t="shared" si="34"/>
        <v>-26.17828960682962</v>
      </c>
    </row>
    <row r="74" spans="1:4" ht="12.75">
      <c r="A74" t="s">
        <v>46</v>
      </c>
      <c r="B74">
        <f>B10*B71</f>
        <v>93.25048082403138</v>
      </c>
      <c r="C74">
        <f>C10*C71</f>
        <v>81.08737462959252</v>
      </c>
      <c r="D74">
        <f>D10*D71</f>
        <v>35.255380273735874</v>
      </c>
    </row>
    <row r="75" spans="1:4" ht="12.75">
      <c r="A75" t="s">
        <v>47</v>
      </c>
      <c r="B75">
        <f>B74</f>
        <v>93.25048082403138</v>
      </c>
      <c r="C75">
        <f>B75+C74</f>
        <v>174.3378554536239</v>
      </c>
      <c r="D75">
        <f>C75+D74</f>
        <v>209.59323572735977</v>
      </c>
    </row>
    <row r="76" spans="1:14" ht="12.75">
      <c r="A76" t="s">
        <v>48</v>
      </c>
      <c r="N76">
        <f>N73</f>
        <v>-26.17828960682962</v>
      </c>
    </row>
    <row r="77" spans="1:14" ht="12.75">
      <c r="A77" t="s">
        <v>49</v>
      </c>
      <c r="N77">
        <f>N76/D75</f>
        <v>-0.1249004507038696</v>
      </c>
    </row>
    <row r="78" ht="12.75">
      <c r="A78" t="s">
        <v>50</v>
      </c>
    </row>
    <row r="80" spans="1:14" ht="12.75">
      <c r="A80" t="s">
        <v>43</v>
      </c>
      <c r="B80">
        <f>1/POWER(1.25,0.5)</f>
        <v>0.8944271909999159</v>
      </c>
      <c r="C80">
        <f>1/POWER(1.25,1.5)</f>
        <v>0.7155417527999327</v>
      </c>
      <c r="D80">
        <f>1/POWER(1.25,2.5)</f>
        <v>0.5724334022399462</v>
      </c>
      <c r="E80">
        <f>1/POWER(1.25,3.5)</f>
        <v>0.4579467217919569</v>
      </c>
      <c r="F80">
        <f>1/POWER(1.25,4.5)</f>
        <v>0.36635737743356556</v>
      </c>
      <c r="G80">
        <f>1/POWER(1.25,5.5)</f>
        <v>0.29308590194685247</v>
      </c>
      <c r="H80">
        <f>1/POWER(1.25,6.5)</f>
        <v>0.2344687215574819</v>
      </c>
      <c r="I80">
        <f>1/POWER(1.25,7.5)</f>
        <v>0.18757497724598554</v>
      </c>
      <c r="J80">
        <f>1/POWER(1.25,8.5)</f>
        <v>0.15005998179678842</v>
      </c>
      <c r="K80">
        <f>1/POWER(1.25,9.5)</f>
        <v>0.12004798543743075</v>
      </c>
      <c r="L80">
        <f>1/POWER(1.25,10.5)</f>
        <v>0.09603838834994462</v>
      </c>
      <c r="M80">
        <f>1/POWER(1.25,11.5)</f>
        <v>0.0768307106799557</v>
      </c>
      <c r="N80">
        <f>1/POWER(1.25,12.5)</f>
        <v>0.06146456854396452</v>
      </c>
    </row>
    <row r="81" spans="1:14" ht="12.75">
      <c r="A81" t="s">
        <v>44</v>
      </c>
      <c r="B81">
        <f aca="true" t="shared" si="35" ref="B81:N81">B59*B80</f>
        <v>-110.90897168398956</v>
      </c>
      <c r="C81">
        <f t="shared" si="35"/>
        <v>-105.71127639165087</v>
      </c>
      <c r="D81">
        <f t="shared" si="35"/>
        <v>-52.935631642267964</v>
      </c>
      <c r="E81">
        <f t="shared" si="35"/>
        <v>-1.5448264805716663</v>
      </c>
      <c r="F81">
        <f t="shared" si="35"/>
        <v>-0.6609557198688324</v>
      </c>
      <c r="G81">
        <f t="shared" si="35"/>
        <v>-0.04704238013026909</v>
      </c>
      <c r="H81">
        <f t="shared" si="35"/>
        <v>7.425718831097888</v>
      </c>
      <c r="I81">
        <f t="shared" si="35"/>
        <v>6.009432366228402</v>
      </c>
      <c r="J81">
        <f t="shared" si="35"/>
        <v>4.860378222382218</v>
      </c>
      <c r="K81">
        <f t="shared" si="35"/>
        <v>3.928243818931808</v>
      </c>
      <c r="L81">
        <f t="shared" si="35"/>
        <v>3.1722758351434615</v>
      </c>
      <c r="M81">
        <f t="shared" si="35"/>
        <v>2.5594282759533185</v>
      </c>
      <c r="N81">
        <f t="shared" si="35"/>
        <v>1.4866475186261192</v>
      </c>
    </row>
    <row r="82" spans="1:14" ht="12.75">
      <c r="A82" t="s">
        <v>45</v>
      </c>
      <c r="B82">
        <f aca="true" t="shared" si="36" ref="B82:N82">B60*B80</f>
        <v>-110.90897168398956</v>
      </c>
      <c r="C82">
        <f t="shared" si="36"/>
        <v>-194.4384537388425</v>
      </c>
      <c r="D82">
        <f t="shared" si="36"/>
        <v>-208.486394633342</v>
      </c>
      <c r="E82">
        <f t="shared" si="36"/>
        <v>-168.33394218724524</v>
      </c>
      <c r="F82">
        <f t="shared" si="36"/>
        <v>-135.32810946966504</v>
      </c>
      <c r="G82">
        <f t="shared" si="36"/>
        <v>-108.3095299558623</v>
      </c>
      <c r="H82">
        <f t="shared" si="36"/>
        <v>-79.22190513359193</v>
      </c>
      <c r="I82">
        <f t="shared" si="36"/>
        <v>-57.36809174064514</v>
      </c>
      <c r="J82">
        <f t="shared" si="36"/>
        <v>-41.034095170133895</v>
      </c>
      <c r="K82">
        <f t="shared" si="36"/>
        <v>-28.899032317175312</v>
      </c>
      <c r="L82">
        <f t="shared" si="36"/>
        <v>-19.94695001859679</v>
      </c>
      <c r="M82">
        <f t="shared" si="36"/>
        <v>-13.398131738924116</v>
      </c>
      <c r="N82">
        <f t="shared" si="36"/>
        <v>-9.231857872513167</v>
      </c>
    </row>
    <row r="83" spans="1:4" ht="12.75">
      <c r="A83" t="s">
        <v>46</v>
      </c>
      <c r="B83">
        <f>B10*B80</f>
        <v>89.44271909999159</v>
      </c>
      <c r="C83">
        <f>C10*C80</f>
        <v>71.55417527999327</v>
      </c>
      <c r="D83">
        <f>D10*D80</f>
        <v>28.62167011199731</v>
      </c>
    </row>
    <row r="84" spans="1:4" ht="12.75">
      <c r="A84" t="s">
        <v>47</v>
      </c>
      <c r="B84">
        <f>B83</f>
        <v>89.44271909999159</v>
      </c>
      <c r="C84">
        <f>B84+C83</f>
        <v>160.99689437998487</v>
      </c>
      <c r="D84">
        <f>C84+D83</f>
        <v>189.61856449198217</v>
      </c>
    </row>
    <row r="85" spans="1:14" ht="12.75">
      <c r="A85" t="s">
        <v>48</v>
      </c>
      <c r="N85">
        <f>N82</f>
        <v>-9.231857872513167</v>
      </c>
    </row>
    <row r="86" spans="1:14" ht="12.75">
      <c r="A86" t="s">
        <v>49</v>
      </c>
      <c r="N86">
        <f>N85/D84</f>
        <v>-0.04868646641876422</v>
      </c>
    </row>
    <row r="87" ht="12.75">
      <c r="A87" t="s">
        <v>50</v>
      </c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O94"/>
  <sheetViews>
    <sheetView zoomScalePageLayoutView="0" workbookViewId="0" topLeftCell="A73">
      <selection activeCell="B94" sqref="B94"/>
    </sheetView>
  </sheetViews>
  <sheetFormatPr defaultColWidth="9.00390625" defaultRowHeight="12.75"/>
  <sheetData>
    <row r="3" ht="12.75">
      <c r="A3" t="s">
        <v>1</v>
      </c>
    </row>
    <row r="5" spans="1:14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</row>
    <row r="6" ht="12.75">
      <c r="A6" t="s">
        <v>16</v>
      </c>
    </row>
    <row r="7" spans="1:14" ht="12.75">
      <c r="A7" t="s">
        <v>17</v>
      </c>
      <c r="B7">
        <v>0</v>
      </c>
      <c r="C7">
        <v>0</v>
      </c>
      <c r="D7">
        <v>200</v>
      </c>
      <c r="E7">
        <v>300</v>
      </c>
      <c r="F7">
        <f aca="true" t="shared" si="0" ref="F7:N7">E7</f>
        <v>300</v>
      </c>
      <c r="G7">
        <f t="shared" si="0"/>
        <v>300</v>
      </c>
      <c r="H7">
        <f t="shared" si="0"/>
        <v>300</v>
      </c>
      <c r="I7">
        <f t="shared" si="0"/>
        <v>300</v>
      </c>
      <c r="J7">
        <f t="shared" si="0"/>
        <v>300</v>
      </c>
      <c r="K7">
        <f t="shared" si="0"/>
        <v>300</v>
      </c>
      <c r="L7">
        <f t="shared" si="0"/>
        <v>300</v>
      </c>
      <c r="M7">
        <f t="shared" si="0"/>
        <v>300</v>
      </c>
      <c r="N7">
        <f t="shared" si="0"/>
        <v>300</v>
      </c>
    </row>
    <row r="8" spans="1:14" ht="12.75">
      <c r="A8" t="s">
        <v>18</v>
      </c>
      <c r="B8">
        <v>0</v>
      </c>
      <c r="C8">
        <v>0</v>
      </c>
      <c r="D8">
        <v>70</v>
      </c>
      <c r="E8">
        <v>100</v>
      </c>
      <c r="F8">
        <f aca="true" t="shared" si="1" ref="F8:N8">E8</f>
        <v>100</v>
      </c>
      <c r="G8">
        <f t="shared" si="1"/>
        <v>100</v>
      </c>
      <c r="H8">
        <f t="shared" si="1"/>
        <v>100</v>
      </c>
      <c r="I8">
        <f t="shared" si="1"/>
        <v>100</v>
      </c>
      <c r="J8">
        <f t="shared" si="1"/>
        <v>100</v>
      </c>
      <c r="K8">
        <f t="shared" si="1"/>
        <v>100</v>
      </c>
      <c r="L8">
        <f t="shared" si="1"/>
        <v>100</v>
      </c>
      <c r="M8">
        <f t="shared" si="1"/>
        <v>100</v>
      </c>
      <c r="N8">
        <f t="shared" si="1"/>
        <v>100</v>
      </c>
    </row>
    <row r="9" spans="1:14" ht="12.75">
      <c r="A9" t="s">
        <v>19</v>
      </c>
      <c r="B9">
        <v>0</v>
      </c>
      <c r="C9">
        <v>0</v>
      </c>
      <c r="D9">
        <v>100</v>
      </c>
      <c r="E9">
        <v>150</v>
      </c>
      <c r="F9">
        <f aca="true" t="shared" si="2" ref="F9:N9">E9</f>
        <v>150</v>
      </c>
      <c r="G9">
        <f t="shared" si="2"/>
        <v>150</v>
      </c>
      <c r="H9">
        <f t="shared" si="2"/>
        <v>150</v>
      </c>
      <c r="I9">
        <f t="shared" si="2"/>
        <v>150</v>
      </c>
      <c r="J9">
        <f t="shared" si="2"/>
        <v>150</v>
      </c>
      <c r="K9">
        <f t="shared" si="2"/>
        <v>150</v>
      </c>
      <c r="L9">
        <f t="shared" si="2"/>
        <v>150</v>
      </c>
      <c r="M9">
        <f t="shared" si="2"/>
        <v>150</v>
      </c>
      <c r="N9">
        <f t="shared" si="2"/>
        <v>150</v>
      </c>
    </row>
    <row r="10" spans="1:4" ht="12.75">
      <c r="A10" t="s">
        <v>20</v>
      </c>
      <c r="B10">
        <v>100</v>
      </c>
      <c r="C10">
        <v>100</v>
      </c>
      <c r="D10">
        <v>50</v>
      </c>
    </row>
    <row r="11" spans="1:8" ht="12.75">
      <c r="A11" t="s">
        <v>21</v>
      </c>
      <c r="B11">
        <f>B10</f>
        <v>100</v>
      </c>
      <c r="C11">
        <f>B11+C10</f>
        <v>200</v>
      </c>
      <c r="D11">
        <f>C11+D10</f>
        <v>250</v>
      </c>
      <c r="E11">
        <f>D11-E49+E50</f>
        <v>175.74559999999997</v>
      </c>
      <c r="F11">
        <f>E11-F49+F50</f>
        <v>96.29339199999998</v>
      </c>
      <c r="G11">
        <f>F11-G49+G50</f>
        <v>11.676790479999898</v>
      </c>
      <c r="H11">
        <v>0</v>
      </c>
    </row>
    <row r="12" spans="1:14" ht="12.75">
      <c r="A12" t="s">
        <v>22</v>
      </c>
      <c r="F12">
        <v>1.07</v>
      </c>
      <c r="G12">
        <f aca="true" t="shared" si="3" ref="G12:N12">F12-0.005</f>
        <v>1.0650000000000002</v>
      </c>
      <c r="H12">
        <f t="shared" si="3"/>
        <v>1.0600000000000003</v>
      </c>
      <c r="I12">
        <f t="shared" si="3"/>
        <v>1.0550000000000004</v>
      </c>
      <c r="J12">
        <f t="shared" si="3"/>
        <v>1.0500000000000005</v>
      </c>
      <c r="K12">
        <f t="shared" si="3"/>
        <v>1.0450000000000006</v>
      </c>
      <c r="L12">
        <f t="shared" si="3"/>
        <v>1.0400000000000007</v>
      </c>
      <c r="M12">
        <f t="shared" si="3"/>
        <v>1.0350000000000008</v>
      </c>
      <c r="N12">
        <f t="shared" si="3"/>
        <v>1.030000000000001</v>
      </c>
    </row>
    <row r="13" ht="12.75">
      <c r="A13" t="s">
        <v>23</v>
      </c>
    </row>
    <row r="14" spans="1:14" ht="12.75">
      <c r="A14" t="s">
        <v>17</v>
      </c>
      <c r="D14">
        <f>E14*D7/E7</f>
        <v>21.426666666666666</v>
      </c>
      <c r="E14">
        <v>32.14</v>
      </c>
      <c r="F14">
        <f>E14*$F$12</f>
        <v>34.3898</v>
      </c>
      <c r="G14">
        <f>F14*$G$12</f>
        <v>36.62513700000001</v>
      </c>
      <c r="H14">
        <f>G14*$H$12</f>
        <v>38.82264522000002</v>
      </c>
      <c r="I14">
        <f>H14*$I$12</f>
        <v>40.957890707100034</v>
      </c>
      <c r="J14">
        <f>I14*$J$12</f>
        <v>43.005785242455055</v>
      </c>
      <c r="K14">
        <f>J14*$K$12</f>
        <v>44.94104557836556</v>
      </c>
      <c r="L14">
        <f>K14*$L$12</f>
        <v>46.738687401500215</v>
      </c>
      <c r="M14">
        <f>L14*$M$12</f>
        <v>48.37454146055276</v>
      </c>
      <c r="N14">
        <f>M14*$N$12</f>
        <v>49.82577770436939</v>
      </c>
    </row>
    <row r="15" spans="1:14" ht="12.75">
      <c r="A15" t="s">
        <v>18</v>
      </c>
      <c r="D15">
        <f>E15*D8/E8</f>
        <v>13.503</v>
      </c>
      <c r="E15">
        <v>19.29</v>
      </c>
      <c r="F15">
        <f>E15*$F$12</f>
        <v>20.6403</v>
      </c>
      <c r="G15">
        <f>F15*$G$12</f>
        <v>21.981919500000004</v>
      </c>
      <c r="H15">
        <f>G15*$H$12</f>
        <v>23.30083467000001</v>
      </c>
      <c r="I15">
        <f>H15*$I$12</f>
        <v>24.58238057685002</v>
      </c>
      <c r="J15">
        <f>I15*$J$12</f>
        <v>25.811499605692532</v>
      </c>
      <c r="K15">
        <f>J15*$K$12</f>
        <v>26.973017087948712</v>
      </c>
      <c r="L15">
        <f>K15*$L$12</f>
        <v>28.05193777146668</v>
      </c>
      <c r="M15">
        <f>L15*$M$12</f>
        <v>29.033755593468037</v>
      </c>
      <c r="N15">
        <f>M15*$N$12</f>
        <v>29.904768261272103</v>
      </c>
    </row>
    <row r="16" spans="1:14" ht="12.75">
      <c r="A16" t="s">
        <v>19</v>
      </c>
      <c r="D16">
        <f>E16*D9/E9</f>
        <v>18.58</v>
      </c>
      <c r="E16">
        <v>27.87</v>
      </c>
      <c r="F16">
        <f>E16*$F$12</f>
        <v>29.8209</v>
      </c>
      <c r="G16">
        <f>F16*$G$12</f>
        <v>31.75925850000001</v>
      </c>
      <c r="H16">
        <f>G16*$H$12</f>
        <v>33.664814010000015</v>
      </c>
      <c r="I16">
        <f>H16*$I$12</f>
        <v>35.51637878055003</v>
      </c>
      <c r="J16">
        <f>I16*$J$12</f>
        <v>37.292197719577544</v>
      </c>
      <c r="K16">
        <f>J16*$K$12</f>
        <v>38.97034661695856</v>
      </c>
      <c r="L16">
        <f>K16*$L$12</f>
        <v>40.52916048163693</v>
      </c>
      <c r="M16">
        <f>L16*$M$12</f>
        <v>41.94768109849426</v>
      </c>
      <c r="N16">
        <f>M16*$N$12</f>
        <v>43.206111531449125</v>
      </c>
    </row>
    <row r="17" ht="12.75">
      <c r="A17" t="s">
        <v>24</v>
      </c>
    </row>
    <row r="18" spans="1:14" ht="12.75">
      <c r="A18" t="s">
        <v>17</v>
      </c>
      <c r="D18">
        <f>E18*D7/E7</f>
        <v>50</v>
      </c>
      <c r="E18">
        <f>75</f>
        <v>75</v>
      </c>
      <c r="F18">
        <f>E18*$F$12</f>
        <v>80.25</v>
      </c>
      <c r="G18">
        <f>F18*$G$12</f>
        <v>85.46625000000002</v>
      </c>
      <c r="H18">
        <f>G18*$H$12</f>
        <v>90.59422500000004</v>
      </c>
      <c r="I18">
        <f>H18*$I$12</f>
        <v>95.57690737500008</v>
      </c>
      <c r="J18">
        <f>I18*$J$12</f>
        <v>100.35575274375013</v>
      </c>
      <c r="K18">
        <f>J18*$K$12</f>
        <v>104.87176161721895</v>
      </c>
      <c r="L18">
        <f>K18*$L$12</f>
        <v>109.06663208190778</v>
      </c>
      <c r="M18">
        <f>L18*$M$12</f>
        <v>112.88396420477464</v>
      </c>
      <c r="N18">
        <f>M18*$N$12</f>
        <v>116.27048313091798</v>
      </c>
    </row>
    <row r="19" spans="1:14" ht="12.75">
      <c r="A19" t="s">
        <v>18</v>
      </c>
      <c r="D19">
        <f>E19*D8/E8</f>
        <v>31.5</v>
      </c>
      <c r="E19">
        <f>45</f>
        <v>45</v>
      </c>
      <c r="F19">
        <f>E19*$F$12</f>
        <v>48.150000000000006</v>
      </c>
      <c r="G19">
        <f>F19*$G$12</f>
        <v>51.279750000000014</v>
      </c>
      <c r="H19">
        <f>G19*$H$12</f>
        <v>54.35653500000003</v>
      </c>
      <c r="I19">
        <f>H19*$I$12</f>
        <v>57.34614442500005</v>
      </c>
      <c r="J19">
        <f>I19*$J$12</f>
        <v>60.21345164625008</v>
      </c>
      <c r="K19">
        <f>J19*$K$12</f>
        <v>62.923056970331366</v>
      </c>
      <c r="L19">
        <f>K19*$L$12</f>
        <v>65.43997924914467</v>
      </c>
      <c r="M19">
        <f>L19*$M$12</f>
        <v>67.73037852286478</v>
      </c>
      <c r="N19">
        <f>M19*$N$12</f>
        <v>69.76228987855079</v>
      </c>
    </row>
    <row r="20" spans="1:14" ht="12.75">
      <c r="A20" t="s">
        <v>19</v>
      </c>
      <c r="D20">
        <f>E20*D9/E9</f>
        <v>43.333333333333336</v>
      </c>
      <c r="E20">
        <f>65</f>
        <v>65</v>
      </c>
      <c r="F20">
        <f>E20*$F$12</f>
        <v>69.55</v>
      </c>
      <c r="G20">
        <f>F20*$G$12</f>
        <v>74.07075</v>
      </c>
      <c r="H20">
        <f>G20*$H$12</f>
        <v>78.51499500000003</v>
      </c>
      <c r="I20">
        <f>H20*$I$12</f>
        <v>82.83331972500005</v>
      </c>
      <c r="J20">
        <f>I20*$J$12</f>
        <v>86.9749857112501</v>
      </c>
      <c r="K20">
        <f>J20*$K$12</f>
        <v>90.8888600682564</v>
      </c>
      <c r="L20">
        <f>K20*$L$12</f>
        <v>94.52441447098673</v>
      </c>
      <c r="M20">
        <f>L20*$M$12</f>
        <v>97.83276897747133</v>
      </c>
      <c r="N20">
        <f>M20*$N$12</f>
        <v>100.76775204679556</v>
      </c>
    </row>
    <row r="21" ht="12.75">
      <c r="A21" t="s">
        <v>25</v>
      </c>
    </row>
    <row r="22" spans="1:14" ht="12.75">
      <c r="A22" t="s">
        <v>17</v>
      </c>
      <c r="D22">
        <f aca="true" t="shared" si="4" ref="D22:N22">D18*1000/D7</f>
        <v>250</v>
      </c>
      <c r="E22">
        <f t="shared" si="4"/>
        <v>250</v>
      </c>
      <c r="F22">
        <f t="shared" si="4"/>
        <v>267.5</v>
      </c>
      <c r="G22">
        <f t="shared" si="4"/>
        <v>284.88750000000005</v>
      </c>
      <c r="H22">
        <f t="shared" si="4"/>
        <v>301.9807500000001</v>
      </c>
      <c r="I22">
        <f t="shared" si="4"/>
        <v>318.58969125000027</v>
      </c>
      <c r="J22">
        <f t="shared" si="4"/>
        <v>334.5191758125004</v>
      </c>
      <c r="K22">
        <f t="shared" si="4"/>
        <v>349.5725387240631</v>
      </c>
      <c r="L22">
        <f t="shared" si="4"/>
        <v>363.5554402730259</v>
      </c>
      <c r="M22">
        <f t="shared" si="4"/>
        <v>376.27988068258213</v>
      </c>
      <c r="N22">
        <f t="shared" si="4"/>
        <v>387.5682771030599</v>
      </c>
    </row>
    <row r="23" spans="1:14" ht="12.75">
      <c r="A23" t="s">
        <v>18</v>
      </c>
      <c r="D23">
        <f aca="true" t="shared" si="5" ref="D23:N23">D19*1000/D8</f>
        <v>450</v>
      </c>
      <c r="E23">
        <f t="shared" si="5"/>
        <v>450</v>
      </c>
      <c r="F23">
        <f t="shared" si="5"/>
        <v>481.50000000000006</v>
      </c>
      <c r="G23">
        <f t="shared" si="5"/>
        <v>512.7975000000001</v>
      </c>
      <c r="H23">
        <f t="shared" si="5"/>
        <v>543.5653500000003</v>
      </c>
      <c r="I23">
        <f t="shared" si="5"/>
        <v>573.4614442500005</v>
      </c>
      <c r="J23">
        <f t="shared" si="5"/>
        <v>602.1345164625008</v>
      </c>
      <c r="K23">
        <f t="shared" si="5"/>
        <v>629.2305697033137</v>
      </c>
      <c r="L23">
        <f t="shared" si="5"/>
        <v>654.3997924914468</v>
      </c>
      <c r="M23">
        <f t="shared" si="5"/>
        <v>677.3037852286477</v>
      </c>
      <c r="N23">
        <f t="shared" si="5"/>
        <v>697.6228987855079</v>
      </c>
    </row>
    <row r="24" spans="1:14" ht="12.75">
      <c r="A24" t="s">
        <v>19</v>
      </c>
      <c r="D24">
        <f aca="true" t="shared" si="6" ref="D24:N24">D20*1000/D9</f>
        <v>433.33333333333337</v>
      </c>
      <c r="E24">
        <f t="shared" si="6"/>
        <v>433.3333333333333</v>
      </c>
      <c r="F24">
        <f t="shared" si="6"/>
        <v>463.6666666666667</v>
      </c>
      <c r="G24">
        <f t="shared" si="6"/>
        <v>493.805</v>
      </c>
      <c r="H24">
        <f t="shared" si="6"/>
        <v>523.4333000000001</v>
      </c>
      <c r="I24">
        <f t="shared" si="6"/>
        <v>552.2221315000004</v>
      </c>
      <c r="J24">
        <f t="shared" si="6"/>
        <v>579.8332380750007</v>
      </c>
      <c r="K24">
        <f t="shared" si="6"/>
        <v>605.925733788376</v>
      </c>
      <c r="L24">
        <f t="shared" si="6"/>
        <v>630.1627631399115</v>
      </c>
      <c r="M24">
        <f t="shared" si="6"/>
        <v>652.2184598498089</v>
      </c>
      <c r="N24">
        <f t="shared" si="6"/>
        <v>671.7850136453037</v>
      </c>
    </row>
    <row r="25" ht="12.75">
      <c r="A25" t="s">
        <v>26</v>
      </c>
    </row>
    <row r="26" spans="1:14" ht="12.75">
      <c r="A26" t="s">
        <v>17</v>
      </c>
      <c r="D26">
        <f aca="true" t="shared" si="7" ref="D26:N26">D14+D18</f>
        <v>71.42666666666666</v>
      </c>
      <c r="E26">
        <f t="shared" si="7"/>
        <v>107.14</v>
      </c>
      <c r="F26">
        <f t="shared" si="7"/>
        <v>114.63980000000001</v>
      </c>
      <c r="G26">
        <f t="shared" si="7"/>
        <v>122.09138700000003</v>
      </c>
      <c r="H26">
        <f t="shared" si="7"/>
        <v>129.41687022000005</v>
      </c>
      <c r="I26">
        <f t="shared" si="7"/>
        <v>136.5347980821001</v>
      </c>
      <c r="J26">
        <f t="shared" si="7"/>
        <v>143.36153798620518</v>
      </c>
      <c r="K26">
        <f t="shared" si="7"/>
        <v>149.81280719558453</v>
      </c>
      <c r="L26">
        <f t="shared" si="7"/>
        <v>155.805319483408</v>
      </c>
      <c r="M26">
        <f t="shared" si="7"/>
        <v>161.2585056653274</v>
      </c>
      <c r="N26">
        <f t="shared" si="7"/>
        <v>166.09626083528738</v>
      </c>
    </row>
    <row r="27" spans="1:14" ht="12.75">
      <c r="A27" t="s">
        <v>18</v>
      </c>
      <c r="D27">
        <f aca="true" t="shared" si="8" ref="D27:N27">D15+D19</f>
        <v>45.003</v>
      </c>
      <c r="E27">
        <f t="shared" si="8"/>
        <v>64.28999999999999</v>
      </c>
      <c r="F27">
        <f t="shared" si="8"/>
        <v>68.7903</v>
      </c>
      <c r="G27">
        <f t="shared" si="8"/>
        <v>73.26166950000001</v>
      </c>
      <c r="H27">
        <f t="shared" si="8"/>
        <v>77.65736967000004</v>
      </c>
      <c r="I27">
        <f t="shared" si="8"/>
        <v>81.92852500185006</v>
      </c>
      <c r="J27">
        <f t="shared" si="8"/>
        <v>86.02495125194261</v>
      </c>
      <c r="K27">
        <f t="shared" si="8"/>
        <v>89.89607405828008</v>
      </c>
      <c r="L27">
        <f t="shared" si="8"/>
        <v>93.49191702061135</v>
      </c>
      <c r="M27">
        <f t="shared" si="8"/>
        <v>96.76413411633283</v>
      </c>
      <c r="N27">
        <f t="shared" si="8"/>
        <v>99.6670581398229</v>
      </c>
    </row>
    <row r="28" spans="1:15" ht="12.75">
      <c r="A28" t="s">
        <v>19</v>
      </c>
      <c r="D28">
        <f aca="true" t="shared" si="9" ref="D28:N28">D16+D20</f>
        <v>61.913333333333334</v>
      </c>
      <c r="E28">
        <f t="shared" si="9"/>
        <v>92.87</v>
      </c>
      <c r="F28">
        <f t="shared" si="9"/>
        <v>99.3709</v>
      </c>
      <c r="G28">
        <f t="shared" si="9"/>
        <v>105.83000850000002</v>
      </c>
      <c r="H28">
        <f t="shared" si="9"/>
        <v>112.17980901000004</v>
      </c>
      <c r="I28">
        <f t="shared" si="9"/>
        <v>118.34969850555008</v>
      </c>
      <c r="J28">
        <f t="shared" si="9"/>
        <v>124.26718343082764</v>
      </c>
      <c r="K28">
        <f t="shared" si="9"/>
        <v>129.85920668521496</v>
      </c>
      <c r="L28">
        <f t="shared" si="9"/>
        <v>135.05357495262365</v>
      </c>
      <c r="M28">
        <f t="shared" si="9"/>
        <v>139.78045007596558</v>
      </c>
      <c r="N28">
        <f t="shared" si="9"/>
        <v>143.97386357824467</v>
      </c>
      <c r="O28">
        <f>SUM(D26:N28)</f>
        <v>3597.806979965179</v>
      </c>
    </row>
    <row r="29" ht="12.75">
      <c r="A29" t="s">
        <v>27</v>
      </c>
    </row>
    <row r="30" spans="1:14" ht="12.75">
      <c r="A30" t="s">
        <v>17</v>
      </c>
      <c r="D30">
        <f aca="true" t="shared" si="10" ref="D30:N30">D26/(D26+D27+D28)*100</f>
        <v>40.05016550504739</v>
      </c>
      <c r="E30">
        <f t="shared" si="10"/>
        <v>40.53726825576996</v>
      </c>
      <c r="F30">
        <f t="shared" si="10"/>
        <v>40.53726825576995</v>
      </c>
      <c r="G30">
        <f t="shared" si="10"/>
        <v>40.53726825576996</v>
      </c>
      <c r="H30">
        <f t="shared" si="10"/>
        <v>40.53726825576995</v>
      </c>
      <c r="I30">
        <f t="shared" si="10"/>
        <v>40.537268255769966</v>
      </c>
      <c r="J30">
        <f t="shared" si="10"/>
        <v>40.53726825576996</v>
      </c>
      <c r="K30">
        <f t="shared" si="10"/>
        <v>40.53726825576997</v>
      </c>
      <c r="L30">
        <f t="shared" si="10"/>
        <v>40.537268255769966</v>
      </c>
      <c r="M30">
        <f t="shared" si="10"/>
        <v>40.53726825576996</v>
      </c>
      <c r="N30">
        <f t="shared" si="10"/>
        <v>40.537268255769966</v>
      </c>
    </row>
    <row r="31" spans="1:14" ht="12.75">
      <c r="A31" t="s">
        <v>18</v>
      </c>
      <c r="D31">
        <f aca="true" t="shared" si="11" ref="D31:N31">D27/(D27+D28+D26)*100</f>
        <v>25.233959280711883</v>
      </c>
      <c r="E31">
        <f t="shared" si="11"/>
        <v>24.324631101021563</v>
      </c>
      <c r="F31">
        <f t="shared" si="11"/>
        <v>24.324631101021563</v>
      </c>
      <c r="G31">
        <f t="shared" si="11"/>
        <v>24.324631101021566</v>
      </c>
      <c r="H31">
        <f t="shared" si="11"/>
        <v>24.324631101021566</v>
      </c>
      <c r="I31">
        <f t="shared" si="11"/>
        <v>24.32463110102157</v>
      </c>
      <c r="J31">
        <f t="shared" si="11"/>
        <v>24.32463110102157</v>
      </c>
      <c r="K31">
        <f t="shared" si="11"/>
        <v>24.32463110102157</v>
      </c>
      <c r="L31">
        <f t="shared" si="11"/>
        <v>24.32463110102157</v>
      </c>
      <c r="M31">
        <f t="shared" si="11"/>
        <v>24.32463110102157</v>
      </c>
      <c r="N31">
        <f t="shared" si="11"/>
        <v>24.32463110102157</v>
      </c>
    </row>
    <row r="32" spans="1:14" ht="12.75">
      <c r="A32" t="s">
        <v>19</v>
      </c>
      <c r="D32">
        <f aca="true" t="shared" si="12" ref="D32:N32">D28/(D26+D27+D28)*100</f>
        <v>34.715875214240725</v>
      </c>
      <c r="E32">
        <f t="shared" si="12"/>
        <v>35.138100643208475</v>
      </c>
      <c r="F32">
        <f t="shared" si="12"/>
        <v>35.13810064320847</v>
      </c>
      <c r="G32">
        <f t="shared" si="12"/>
        <v>35.138100643208475</v>
      </c>
      <c r="H32">
        <f t="shared" si="12"/>
        <v>35.13810064320847</v>
      </c>
      <c r="I32">
        <f t="shared" si="12"/>
        <v>35.138100643208475</v>
      </c>
      <c r="J32">
        <f t="shared" si="12"/>
        <v>35.13810064320847</v>
      </c>
      <c r="K32">
        <f t="shared" si="12"/>
        <v>35.13810064320847</v>
      </c>
      <c r="L32">
        <f t="shared" si="12"/>
        <v>35.13810064320847</v>
      </c>
      <c r="M32">
        <f t="shared" si="12"/>
        <v>35.13810064320847</v>
      </c>
      <c r="N32">
        <f t="shared" si="12"/>
        <v>35.13810064320847</v>
      </c>
    </row>
    <row r="33" ht="12.75">
      <c r="A33" t="s">
        <v>28</v>
      </c>
    </row>
    <row r="34" spans="1:14" ht="12.75">
      <c r="A34" t="s">
        <v>17</v>
      </c>
      <c r="D34">
        <f aca="true" t="shared" si="13" ref="D34:N34">D26/D7*1000</f>
        <v>357.1333333333333</v>
      </c>
      <c r="E34">
        <f t="shared" si="13"/>
        <v>357.1333333333334</v>
      </c>
      <c r="F34">
        <f t="shared" si="13"/>
        <v>382.1326666666667</v>
      </c>
      <c r="G34">
        <f t="shared" si="13"/>
        <v>406.9712900000001</v>
      </c>
      <c r="H34">
        <f t="shared" si="13"/>
        <v>431.38956740000015</v>
      </c>
      <c r="I34">
        <f t="shared" si="13"/>
        <v>455.1159936070004</v>
      </c>
      <c r="J34">
        <f t="shared" si="13"/>
        <v>477.87179328735056</v>
      </c>
      <c r="K34">
        <f t="shared" si="13"/>
        <v>499.37602398528173</v>
      </c>
      <c r="L34">
        <f t="shared" si="13"/>
        <v>519.3510649446933</v>
      </c>
      <c r="M34">
        <f t="shared" si="13"/>
        <v>537.528352217758</v>
      </c>
      <c r="N34">
        <f t="shared" si="13"/>
        <v>553.6542027842912</v>
      </c>
    </row>
    <row r="35" spans="1:14" ht="12.75">
      <c r="A35" t="s">
        <v>18</v>
      </c>
      <c r="D35">
        <f aca="true" t="shared" si="14" ref="D35:N35">D27/D8*1000</f>
        <v>642.9</v>
      </c>
      <c r="E35">
        <f t="shared" si="14"/>
        <v>642.8999999999999</v>
      </c>
      <c r="F35">
        <f t="shared" si="14"/>
        <v>687.903</v>
      </c>
      <c r="G35">
        <f t="shared" si="14"/>
        <v>732.6166950000002</v>
      </c>
      <c r="H35">
        <f t="shared" si="14"/>
        <v>776.5736967000004</v>
      </c>
      <c r="I35">
        <f t="shared" si="14"/>
        <v>819.2852500185006</v>
      </c>
      <c r="J35">
        <f t="shared" si="14"/>
        <v>860.249512519426</v>
      </c>
      <c r="K35">
        <f t="shared" si="14"/>
        <v>898.9607405828008</v>
      </c>
      <c r="L35">
        <f t="shared" si="14"/>
        <v>934.9191702061134</v>
      </c>
      <c r="M35">
        <f t="shared" si="14"/>
        <v>967.6413411633282</v>
      </c>
      <c r="N35">
        <f t="shared" si="14"/>
        <v>996.6705813982289</v>
      </c>
    </row>
    <row r="36" spans="1:14" ht="12.75">
      <c r="A36" t="s">
        <v>19</v>
      </c>
      <c r="D36">
        <f aca="true" t="shared" si="15" ref="D36:N36">D28/D9*1000</f>
        <v>619.1333333333333</v>
      </c>
      <c r="E36">
        <f t="shared" si="15"/>
        <v>619.1333333333333</v>
      </c>
      <c r="F36">
        <f t="shared" si="15"/>
        <v>662.4726666666667</v>
      </c>
      <c r="G36">
        <f t="shared" si="15"/>
        <v>705.5333900000002</v>
      </c>
      <c r="H36">
        <f t="shared" si="15"/>
        <v>747.8653934000002</v>
      </c>
      <c r="I36">
        <f t="shared" si="15"/>
        <v>788.9979900370006</v>
      </c>
      <c r="J36">
        <f t="shared" si="15"/>
        <v>828.447889538851</v>
      </c>
      <c r="K36">
        <f t="shared" si="15"/>
        <v>865.7280445680997</v>
      </c>
      <c r="L36">
        <f t="shared" si="15"/>
        <v>900.3571663508243</v>
      </c>
      <c r="M36">
        <f t="shared" si="15"/>
        <v>931.8696671731038</v>
      </c>
      <c r="N36">
        <f t="shared" si="15"/>
        <v>959.8257571882979</v>
      </c>
    </row>
    <row r="37" ht="12.75">
      <c r="A37" t="s">
        <v>29</v>
      </c>
    </row>
    <row r="38" spans="1:14" ht="12.75">
      <c r="A38" t="s">
        <v>17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</row>
    <row r="39" spans="1:14" ht="12.75">
      <c r="A39" t="s">
        <v>18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</row>
    <row r="40" spans="1:14" ht="12.75">
      <c r="A40" t="s">
        <v>19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>
        <v>30</v>
      </c>
      <c r="K40">
        <v>30</v>
      </c>
      <c r="L40">
        <v>30</v>
      </c>
      <c r="M40">
        <v>30</v>
      </c>
      <c r="N40">
        <v>30</v>
      </c>
    </row>
    <row r="41" ht="12.75">
      <c r="A41" t="s">
        <v>30</v>
      </c>
    </row>
    <row r="42" spans="1:14" ht="12.75">
      <c r="A42" t="s">
        <v>17</v>
      </c>
      <c r="D42">
        <f aca="true" t="shared" si="16" ref="D42:E44">D34*(1+D38/100)*1.1</f>
        <v>491.05833333333334</v>
      </c>
      <c r="E42">
        <f t="shared" si="16"/>
        <v>491.05833333333345</v>
      </c>
      <c r="F42">
        <f aca="true" t="shared" si="17" ref="F42:M42">F34*(1+F38/100)*1.1</f>
        <v>525.4324166666668</v>
      </c>
      <c r="G42">
        <f t="shared" si="17"/>
        <v>559.5855237500002</v>
      </c>
      <c r="H42">
        <f t="shared" si="17"/>
        <v>593.1606551750002</v>
      </c>
      <c r="I42">
        <f t="shared" si="17"/>
        <v>625.7844912096256</v>
      </c>
      <c r="J42">
        <f t="shared" si="17"/>
        <v>657.073715770107</v>
      </c>
      <c r="K42">
        <f t="shared" si="17"/>
        <v>686.6420329797623</v>
      </c>
      <c r="L42">
        <f t="shared" si="17"/>
        <v>714.1077142989534</v>
      </c>
      <c r="M42">
        <f t="shared" si="17"/>
        <v>739.1014842994173</v>
      </c>
      <c r="N42">
        <f>N34*(1+N38/100)*1.1</f>
        <v>761.2745288284004</v>
      </c>
    </row>
    <row r="43" spans="1:14" ht="12.75">
      <c r="A43" t="s">
        <v>18</v>
      </c>
      <c r="D43">
        <f t="shared" si="16"/>
        <v>848.6279999999999</v>
      </c>
      <c r="E43">
        <f t="shared" si="16"/>
        <v>848.6279999999998</v>
      </c>
      <c r="F43">
        <f aca="true" t="shared" si="18" ref="F43:M43">F35*(1+F39/100)*1.1</f>
        <v>908.0319600000001</v>
      </c>
      <c r="G43">
        <f t="shared" si="18"/>
        <v>967.0540374000002</v>
      </c>
      <c r="H43">
        <f t="shared" si="18"/>
        <v>1025.0772796440006</v>
      </c>
      <c r="I43">
        <f t="shared" si="18"/>
        <v>1081.456530024421</v>
      </c>
      <c r="J43">
        <f t="shared" si="18"/>
        <v>1135.5293565256425</v>
      </c>
      <c r="K43">
        <f t="shared" si="18"/>
        <v>1186.6281775692971</v>
      </c>
      <c r="L43">
        <f t="shared" si="18"/>
        <v>1234.09330467207</v>
      </c>
      <c r="M43">
        <f t="shared" si="18"/>
        <v>1277.2865703355933</v>
      </c>
      <c r="N43">
        <f>N35*(1+N39/100)*1.1</f>
        <v>1315.6051674456623</v>
      </c>
    </row>
    <row r="44" spans="1:14" ht="12.75">
      <c r="A44" t="s">
        <v>19</v>
      </c>
      <c r="D44">
        <f t="shared" si="16"/>
        <v>885.3606666666667</v>
      </c>
      <c r="E44">
        <f t="shared" si="16"/>
        <v>885.3606666666667</v>
      </c>
      <c r="F44">
        <f aca="true" t="shared" si="19" ref="F44:M44">F36*(1+F40/100)*1.1</f>
        <v>947.3359133333335</v>
      </c>
      <c r="G44">
        <f t="shared" si="19"/>
        <v>1008.9127477000003</v>
      </c>
      <c r="H44">
        <f t="shared" si="19"/>
        <v>1069.4475125620004</v>
      </c>
      <c r="I44">
        <f t="shared" si="19"/>
        <v>1128.267125752911</v>
      </c>
      <c r="J44">
        <f t="shared" si="19"/>
        <v>1184.6804820405569</v>
      </c>
      <c r="K44">
        <f t="shared" si="19"/>
        <v>1237.9911037323827</v>
      </c>
      <c r="L44">
        <f t="shared" si="19"/>
        <v>1287.510747881679</v>
      </c>
      <c r="M44">
        <f t="shared" si="19"/>
        <v>1332.5736240575386</v>
      </c>
      <c r="N44">
        <f>N36*(1+N40/100)*1.1</f>
        <v>1372.550832779266</v>
      </c>
    </row>
    <row r="45" ht="12.75">
      <c r="A45" t="s">
        <v>31</v>
      </c>
    </row>
    <row r="46" spans="1:14" ht="12.75">
      <c r="A46" t="s">
        <v>17</v>
      </c>
      <c r="D46">
        <f aca="true" t="shared" si="20" ref="D46:N46">D42*D7/1000</f>
        <v>98.21166666666667</v>
      </c>
      <c r="E46">
        <f t="shared" si="20"/>
        <v>147.31750000000002</v>
      </c>
      <c r="F46">
        <f t="shared" si="20"/>
        <v>157.62972500000004</v>
      </c>
      <c r="G46">
        <f t="shared" si="20"/>
        <v>167.87565712500006</v>
      </c>
      <c r="H46">
        <f t="shared" si="20"/>
        <v>177.94819655250006</v>
      </c>
      <c r="I46">
        <f t="shared" si="20"/>
        <v>187.73534736288767</v>
      </c>
      <c r="J46">
        <f t="shared" si="20"/>
        <v>197.1221147310321</v>
      </c>
      <c r="K46">
        <f t="shared" si="20"/>
        <v>205.99260989392872</v>
      </c>
      <c r="L46">
        <f t="shared" si="20"/>
        <v>214.232314289686</v>
      </c>
      <c r="M46">
        <f t="shared" si="20"/>
        <v>221.73044528982518</v>
      </c>
      <c r="N46">
        <f t="shared" si="20"/>
        <v>228.38235864852012</v>
      </c>
    </row>
    <row r="47" spans="1:14" ht="12.75">
      <c r="A47" t="s">
        <v>18</v>
      </c>
      <c r="D47">
        <f aca="true" t="shared" si="21" ref="D47:N47">D43*D8/1000</f>
        <v>59.40395999999999</v>
      </c>
      <c r="E47">
        <f t="shared" si="21"/>
        <v>84.8628</v>
      </c>
      <c r="F47">
        <f t="shared" si="21"/>
        <v>90.80319600000001</v>
      </c>
      <c r="G47">
        <f t="shared" si="21"/>
        <v>96.70540374000002</v>
      </c>
      <c r="H47">
        <f t="shared" si="21"/>
        <v>102.50772796440005</v>
      </c>
      <c r="I47">
        <f t="shared" si="21"/>
        <v>108.14565300244209</v>
      </c>
      <c r="J47">
        <f t="shared" si="21"/>
        <v>113.55293565256424</v>
      </c>
      <c r="K47">
        <f t="shared" si="21"/>
        <v>118.66281775692971</v>
      </c>
      <c r="L47">
        <f t="shared" si="21"/>
        <v>123.409330467207</v>
      </c>
      <c r="M47">
        <f t="shared" si="21"/>
        <v>127.72865703355933</v>
      </c>
      <c r="N47">
        <f t="shared" si="21"/>
        <v>131.56051674456623</v>
      </c>
    </row>
    <row r="48" spans="1:15" ht="12.75">
      <c r="A48" t="s">
        <v>19</v>
      </c>
      <c r="D48">
        <f aca="true" t="shared" si="22" ref="D48:N48">D44*D9/1000</f>
        <v>88.53606666666667</v>
      </c>
      <c r="E48">
        <f t="shared" si="22"/>
        <v>132.8041</v>
      </c>
      <c r="F48">
        <f t="shared" si="22"/>
        <v>142.100387</v>
      </c>
      <c r="G48">
        <f t="shared" si="22"/>
        <v>151.33691215500005</v>
      </c>
      <c r="H48">
        <f t="shared" si="22"/>
        <v>160.41712688430005</v>
      </c>
      <c r="I48">
        <f t="shared" si="22"/>
        <v>169.24006886293662</v>
      </c>
      <c r="J48">
        <f t="shared" si="22"/>
        <v>177.70207230608352</v>
      </c>
      <c r="K48">
        <f t="shared" si="22"/>
        <v>185.6986655598574</v>
      </c>
      <c r="L48">
        <f t="shared" si="22"/>
        <v>193.12661218225185</v>
      </c>
      <c r="M48">
        <f t="shared" si="22"/>
        <v>199.8860436086308</v>
      </c>
      <c r="N48">
        <f t="shared" si="22"/>
        <v>205.8826249168899</v>
      </c>
      <c r="O48">
        <f>SUM(D46:N48)</f>
        <v>4968.251614064331</v>
      </c>
    </row>
    <row r="49" spans="1:15" ht="12.75">
      <c r="A49" t="s">
        <v>32</v>
      </c>
      <c r="D49">
        <f aca="true" t="shared" si="23" ref="D49:N49">(D46+D47+D48)-(D26+D27+D28)</f>
        <v>67.80869333333334</v>
      </c>
      <c r="E49">
        <f t="shared" si="23"/>
        <v>100.68440000000004</v>
      </c>
      <c r="F49">
        <f t="shared" si="23"/>
        <v>107.73230799999999</v>
      </c>
      <c r="G49">
        <f t="shared" si="23"/>
        <v>114.73490802000009</v>
      </c>
      <c r="H49">
        <f t="shared" si="23"/>
        <v>121.61900250119999</v>
      </c>
      <c r="I49">
        <f t="shared" si="23"/>
        <v>128.30804763876614</v>
      </c>
      <c r="J49">
        <f t="shared" si="23"/>
        <v>134.72345002070438</v>
      </c>
      <c r="K49">
        <f t="shared" si="23"/>
        <v>140.78600527163633</v>
      </c>
      <c r="L49">
        <f t="shared" si="23"/>
        <v>146.41744548250188</v>
      </c>
      <c r="M49">
        <f t="shared" si="23"/>
        <v>151.54205607438956</v>
      </c>
      <c r="N49">
        <f t="shared" si="23"/>
        <v>156.08831775662134</v>
      </c>
      <c r="O49">
        <f>SUM(D49:N49)</f>
        <v>1370.444634099153</v>
      </c>
    </row>
    <row r="50" spans="1:14" ht="12.75">
      <c r="A50" t="s">
        <v>33</v>
      </c>
      <c r="D50">
        <f aca="true" t="shared" si="24" ref="D50:N50">(D26+D27+D28)/10</f>
        <v>17.8343</v>
      </c>
      <c r="E50">
        <f t="shared" si="24"/>
        <v>26.43</v>
      </c>
      <c r="F50">
        <f t="shared" si="24"/>
        <v>28.280100000000004</v>
      </c>
      <c r="G50">
        <f t="shared" si="24"/>
        <v>30.118306500000006</v>
      </c>
      <c r="H50">
        <f t="shared" si="24"/>
        <v>31.925404890000017</v>
      </c>
      <c r="I50">
        <f t="shared" si="24"/>
        <v>33.681302158950025</v>
      </c>
      <c r="J50">
        <f t="shared" si="24"/>
        <v>35.36536726689754</v>
      </c>
      <c r="K50">
        <f t="shared" si="24"/>
        <v>36.95680879390795</v>
      </c>
      <c r="L50">
        <f t="shared" si="24"/>
        <v>38.4350811456643</v>
      </c>
      <c r="M50">
        <f t="shared" si="24"/>
        <v>39.78030898576258</v>
      </c>
      <c r="N50">
        <f t="shared" si="24"/>
        <v>40.9737182553355</v>
      </c>
    </row>
    <row r="51" spans="1:14" ht="12.75">
      <c r="A51" t="s">
        <v>34</v>
      </c>
      <c r="B51">
        <f aca="true" t="shared" si="25" ref="B51:G51">B11*0.2</f>
        <v>20</v>
      </c>
      <c r="C51">
        <f t="shared" si="25"/>
        <v>40</v>
      </c>
      <c r="D51">
        <f t="shared" si="25"/>
        <v>50</v>
      </c>
      <c r="E51">
        <f t="shared" si="25"/>
        <v>35.149119999999996</v>
      </c>
      <c r="F51">
        <f t="shared" si="25"/>
        <v>19.258678399999997</v>
      </c>
      <c r="G51">
        <f t="shared" si="25"/>
        <v>2.33535809599998</v>
      </c>
      <c r="H51">
        <v>0</v>
      </c>
      <c r="I51">
        <f aca="true" t="shared" si="26" ref="I51:N51">I11*0.2</f>
        <v>0</v>
      </c>
      <c r="J51">
        <f t="shared" si="26"/>
        <v>0</v>
      </c>
      <c r="K51">
        <f t="shared" si="26"/>
        <v>0</v>
      </c>
      <c r="L51">
        <f t="shared" si="26"/>
        <v>0</v>
      </c>
      <c r="M51">
        <f t="shared" si="26"/>
        <v>0</v>
      </c>
      <c r="N51">
        <f t="shared" si="26"/>
        <v>0</v>
      </c>
    </row>
    <row r="52" spans="1:4" ht="12.75">
      <c r="A52" t="s">
        <v>35</v>
      </c>
      <c r="B52">
        <f>-(B49-B50-B51)</f>
        <v>20</v>
      </c>
      <c r="C52">
        <f>-(C49-C50-C51)+B53</f>
        <v>44</v>
      </c>
      <c r="D52">
        <f>-(D49-D50-D51)+C53</f>
        <v>8.38560666666666</v>
      </c>
    </row>
    <row r="53" spans="1:4" ht="12.75">
      <c r="A53" t="s">
        <v>36</v>
      </c>
      <c r="B53">
        <f>B52*0.2</f>
        <v>4</v>
      </c>
      <c r="C53">
        <f>C52*0.19</f>
        <v>8.36</v>
      </c>
      <c r="D53">
        <f>D52*0.18</f>
        <v>1.5094091999999988</v>
      </c>
    </row>
    <row r="54" spans="1:15" ht="12.75">
      <c r="A54" t="s">
        <v>37</v>
      </c>
      <c r="B54">
        <f>-B51-B53</f>
        <v>-24</v>
      </c>
      <c r="C54">
        <f>-C51-C53</f>
        <v>-48.36</v>
      </c>
      <c r="D54">
        <f aca="true" t="shared" si="27" ref="D54:N54">D49-D50-D51-D53</f>
        <v>-1.53501586666666</v>
      </c>
      <c r="E54">
        <f t="shared" si="27"/>
        <v>39.105280000000036</v>
      </c>
      <c r="F54">
        <f t="shared" si="27"/>
        <v>60.19352959999999</v>
      </c>
      <c r="G54">
        <f t="shared" si="27"/>
        <v>82.28124342400011</v>
      </c>
      <c r="H54">
        <f t="shared" si="27"/>
        <v>89.69359761119998</v>
      </c>
      <c r="I54">
        <f t="shared" si="27"/>
        <v>94.62674547981612</v>
      </c>
      <c r="J54">
        <f t="shared" si="27"/>
        <v>99.35808275380683</v>
      </c>
      <c r="K54">
        <f t="shared" si="27"/>
        <v>103.82919647772837</v>
      </c>
      <c r="L54">
        <f t="shared" si="27"/>
        <v>107.98236433683758</v>
      </c>
      <c r="M54">
        <f t="shared" si="27"/>
        <v>111.76174708862698</v>
      </c>
      <c r="N54">
        <f t="shared" si="27"/>
        <v>115.11459950128584</v>
      </c>
      <c r="O54">
        <f>SUM(B54:N54)</f>
        <v>830.0513704066352</v>
      </c>
    </row>
    <row r="55" spans="1:14" ht="12.75">
      <c r="A55" t="s">
        <v>38</v>
      </c>
      <c r="B55">
        <v>0</v>
      </c>
      <c r="C55">
        <v>0</v>
      </c>
      <c r="D55">
        <v>0</v>
      </c>
      <c r="E55">
        <f aca="true" t="shared" si="28" ref="E55:N55">E54*0.3</f>
        <v>11.73158400000001</v>
      </c>
      <c r="F55">
        <f t="shared" si="28"/>
        <v>18.058058879999997</v>
      </c>
      <c r="G55">
        <f t="shared" si="28"/>
        <v>24.68437302720003</v>
      </c>
      <c r="H55">
        <f t="shared" si="28"/>
        <v>26.908079283359992</v>
      </c>
      <c r="I55">
        <f t="shared" si="28"/>
        <v>28.388023643944837</v>
      </c>
      <c r="J55">
        <f t="shared" si="28"/>
        <v>29.807424826142046</v>
      </c>
      <c r="K55">
        <f t="shared" si="28"/>
        <v>31.148758943318512</v>
      </c>
      <c r="L55">
        <f t="shared" si="28"/>
        <v>32.39470930105127</v>
      </c>
      <c r="M55">
        <f t="shared" si="28"/>
        <v>33.52852412658809</v>
      </c>
      <c r="N55">
        <f t="shared" si="28"/>
        <v>34.53437985038575</v>
      </c>
    </row>
    <row r="56" spans="1:15" ht="12.75">
      <c r="A56" t="s">
        <v>39</v>
      </c>
      <c r="B56">
        <f aca="true" t="shared" si="29" ref="B56:N56">B54-B55</f>
        <v>-24</v>
      </c>
      <c r="C56">
        <f t="shared" si="29"/>
        <v>-48.36</v>
      </c>
      <c r="D56">
        <f t="shared" si="29"/>
        <v>-1.53501586666666</v>
      </c>
      <c r="E56">
        <f t="shared" si="29"/>
        <v>27.373696000000024</v>
      </c>
      <c r="F56">
        <f t="shared" si="29"/>
        <v>42.135470719999994</v>
      </c>
      <c r="G56">
        <f t="shared" si="29"/>
        <v>57.59687039680008</v>
      </c>
      <c r="H56">
        <f t="shared" si="29"/>
        <v>62.78551832783998</v>
      </c>
      <c r="I56">
        <f t="shared" si="29"/>
        <v>66.23872183587129</v>
      </c>
      <c r="J56">
        <f t="shared" si="29"/>
        <v>69.55065792766479</v>
      </c>
      <c r="K56">
        <f t="shared" si="29"/>
        <v>72.68043753440986</v>
      </c>
      <c r="L56">
        <f t="shared" si="29"/>
        <v>75.5876550357863</v>
      </c>
      <c r="M56">
        <f t="shared" si="29"/>
        <v>78.2332229620389</v>
      </c>
      <c r="N56">
        <f t="shared" si="29"/>
        <v>80.58021965090009</v>
      </c>
      <c r="O56">
        <f>SUM(B56:N56)</f>
        <v>558.8674545246446</v>
      </c>
    </row>
    <row r="57" spans="1:14" ht="12.75">
      <c r="A57" t="s">
        <v>40</v>
      </c>
      <c r="C57">
        <f>0.208*3</f>
        <v>0.624</v>
      </c>
      <c r="D57">
        <f>0.208*12+1.875*5</f>
        <v>11.871</v>
      </c>
      <c r="E57">
        <f aca="true" t="shared" si="30" ref="E57:M57">0.208*12+1.875*12</f>
        <v>24.996</v>
      </c>
      <c r="F57">
        <f t="shared" si="30"/>
        <v>24.996</v>
      </c>
      <c r="G57">
        <f t="shared" si="30"/>
        <v>24.996</v>
      </c>
      <c r="H57">
        <f t="shared" si="30"/>
        <v>24.996</v>
      </c>
      <c r="I57">
        <f t="shared" si="30"/>
        <v>24.996</v>
      </c>
      <c r="J57">
        <f t="shared" si="30"/>
        <v>24.996</v>
      </c>
      <c r="K57">
        <f t="shared" si="30"/>
        <v>24.996</v>
      </c>
      <c r="L57">
        <f t="shared" si="30"/>
        <v>24.996</v>
      </c>
      <c r="M57">
        <f t="shared" si="30"/>
        <v>24.996</v>
      </c>
      <c r="N57">
        <f>1.875*7+0.208*12</f>
        <v>15.621</v>
      </c>
    </row>
    <row r="59" spans="1:14" ht="12.75">
      <c r="A59" t="s">
        <v>41</v>
      </c>
      <c r="B59">
        <f>-B10+B56</f>
        <v>-124</v>
      </c>
      <c r="C59">
        <f aca="true" t="shared" si="31" ref="C59:N59">-C10+C56+C57</f>
        <v>-147.73600000000002</v>
      </c>
      <c r="D59">
        <f t="shared" si="31"/>
        <v>-39.66401586666666</v>
      </c>
      <c r="E59">
        <f t="shared" si="31"/>
        <v>52.36969600000002</v>
      </c>
      <c r="F59">
        <f t="shared" si="31"/>
        <v>67.13147072</v>
      </c>
      <c r="G59">
        <f t="shared" si="31"/>
        <v>82.59287039680008</v>
      </c>
      <c r="H59">
        <f t="shared" si="31"/>
        <v>87.78151832783998</v>
      </c>
      <c r="I59">
        <f t="shared" si="31"/>
        <v>91.23472183587128</v>
      </c>
      <c r="J59">
        <f t="shared" si="31"/>
        <v>94.54665792766478</v>
      </c>
      <c r="K59">
        <f t="shared" si="31"/>
        <v>97.67643753440986</v>
      </c>
      <c r="L59">
        <f t="shared" si="31"/>
        <v>100.5836550357863</v>
      </c>
      <c r="M59">
        <f t="shared" si="31"/>
        <v>103.22922296203889</v>
      </c>
      <c r="N59">
        <f t="shared" si="31"/>
        <v>96.20121965090009</v>
      </c>
    </row>
    <row r="60" spans="1:14" ht="12.75">
      <c r="A60" t="s">
        <v>42</v>
      </c>
      <c r="B60">
        <f>B59</f>
        <v>-124</v>
      </c>
      <c r="C60">
        <f aca="true" t="shared" si="32" ref="C60:N60">C59+B60</f>
        <v>-271.736</v>
      </c>
      <c r="D60">
        <f t="shared" si="32"/>
        <v>-311.40001586666665</v>
      </c>
      <c r="E60">
        <f t="shared" si="32"/>
        <v>-259.0303198666666</v>
      </c>
      <c r="F60">
        <f t="shared" si="32"/>
        <v>-191.89884914666663</v>
      </c>
      <c r="G60">
        <f t="shared" si="32"/>
        <v>-109.30597874986655</v>
      </c>
      <c r="H60">
        <f t="shared" si="32"/>
        <v>-21.52446042202658</v>
      </c>
      <c r="I60">
        <f t="shared" si="32"/>
        <v>69.7102614138447</v>
      </c>
      <c r="J60">
        <f t="shared" si="32"/>
        <v>164.2569193415095</v>
      </c>
      <c r="K60">
        <f t="shared" si="32"/>
        <v>261.93335687591934</v>
      </c>
      <c r="L60">
        <f t="shared" si="32"/>
        <v>362.51701191170565</v>
      </c>
      <c r="M60">
        <f t="shared" si="32"/>
        <v>465.7462348737445</v>
      </c>
      <c r="N60">
        <f t="shared" si="32"/>
        <v>561.9474545246446</v>
      </c>
    </row>
    <row r="62" spans="1:14" ht="12.75">
      <c r="A62" t="s">
        <v>43</v>
      </c>
      <c r="B62">
        <f>1/POWER(1.2,0.5)</f>
        <v>0.9128709291752769</v>
      </c>
      <c r="C62">
        <f>1/POWER(1.2,1.5)</f>
        <v>0.7607257743127307</v>
      </c>
      <c r="D62">
        <f>1/POWER(1.2,2.5)</f>
        <v>0.633938145260609</v>
      </c>
      <c r="E62">
        <f>1/POWER(1.2,3.5)</f>
        <v>0.5282817877171742</v>
      </c>
      <c r="F62">
        <f>1/POWER(1.2,4.5)</f>
        <v>0.44023482309764517</v>
      </c>
      <c r="G62">
        <f>1/POWER(1.2,5.5)</f>
        <v>0.36686235258137107</v>
      </c>
      <c r="H62">
        <f>1/POWER(1.2,6.5)</f>
        <v>0.3057186271511425</v>
      </c>
      <c r="I62">
        <f>1/POWER(1.2,7.5)</f>
        <v>0.25476552262595203</v>
      </c>
      <c r="J62">
        <f>1/POWER(1.2,8.5)</f>
        <v>0.21230460218829345</v>
      </c>
      <c r="K62">
        <f>1/POWER(1.2,9.5)</f>
        <v>0.17692050182357785</v>
      </c>
      <c r="L62">
        <f>1/POWER(1.2,10.5)</f>
        <v>0.14743375151964822</v>
      </c>
      <c r="M62">
        <f>1/POWER(1.2,11.5)</f>
        <v>0.12286145959970685</v>
      </c>
      <c r="N62">
        <f>1/POWER(1.2,12.5)</f>
        <v>0.1023845496664224</v>
      </c>
    </row>
    <row r="63" spans="1:14" ht="12.75">
      <c r="A63" t="s">
        <v>44</v>
      </c>
      <c r="B63">
        <f aca="true" t="shared" si="33" ref="B63:N63">B59*B62</f>
        <v>-113.19599521773434</v>
      </c>
      <c r="C63">
        <f t="shared" si="33"/>
        <v>-112.3865829938656</v>
      </c>
      <c r="D63">
        <f t="shared" si="33"/>
        <v>-25.14453265210203</v>
      </c>
      <c r="E63">
        <f t="shared" si="33"/>
        <v>27.665956625084956</v>
      </c>
      <c r="F63">
        <f t="shared" si="33"/>
        <v>29.553611136703946</v>
      </c>
      <c r="G63">
        <f t="shared" si="33"/>
        <v>30.300214740218355</v>
      </c>
      <c r="H63">
        <f t="shared" si="33"/>
        <v>26.83644527243009</v>
      </c>
      <c r="I63">
        <f t="shared" si="33"/>
        <v>23.243461590149106</v>
      </c>
      <c r="J63">
        <f t="shared" si="33"/>
        <v>20.072690599565533</v>
      </c>
      <c r="K63">
        <f t="shared" si="33"/>
        <v>17.280964344927146</v>
      </c>
      <c r="L63">
        <f t="shared" si="33"/>
        <v>14.829425603484129</v>
      </c>
      <c r="M63">
        <f t="shared" si="33"/>
        <v>12.682893006459672</v>
      </c>
      <c r="N63">
        <f t="shared" si="33"/>
        <v>9.84951855131799</v>
      </c>
    </row>
    <row r="64" spans="1:14" ht="12.75">
      <c r="A64" t="s">
        <v>45</v>
      </c>
      <c r="B64">
        <f aca="true" t="shared" si="34" ref="B64:N64">B60*B62</f>
        <v>-113.19599521773434</v>
      </c>
      <c r="C64">
        <f t="shared" si="34"/>
        <v>-206.71657900864417</v>
      </c>
      <c r="D64">
        <f t="shared" si="34"/>
        <v>-197.40834849263888</v>
      </c>
      <c r="E64">
        <f t="shared" si="34"/>
        <v>-136.8410004521141</v>
      </c>
      <c r="F64">
        <f t="shared" si="34"/>
        <v>-84.48055590672448</v>
      </c>
      <c r="G64">
        <f t="shared" si="34"/>
        <v>-40.100248515385395</v>
      </c>
      <c r="H64">
        <f t="shared" si="34"/>
        <v>-6.580428490391067</v>
      </c>
      <c r="I64">
        <f t="shared" si="34"/>
        <v>17.759771181489885</v>
      </c>
      <c r="J64">
        <f t="shared" si="34"/>
        <v>34.872499917473775</v>
      </c>
      <c r="K64">
        <f t="shared" si="34"/>
        <v>46.34138094282196</v>
      </c>
      <c r="L64">
        <f t="shared" si="34"/>
        <v>53.44724305583576</v>
      </c>
      <c r="M64">
        <f t="shared" si="34"/>
        <v>57.22226221965614</v>
      </c>
      <c r="N64">
        <f t="shared" si="34"/>
        <v>57.53473706769812</v>
      </c>
    </row>
    <row r="65" spans="1:4" ht="12.75">
      <c r="A65" t="s">
        <v>46</v>
      </c>
      <c r="B65">
        <f>B10*B62</f>
        <v>91.28709291752769</v>
      </c>
      <c r="C65">
        <f>C10*C62</f>
        <v>76.07257743127307</v>
      </c>
      <c r="D65">
        <f>D10*D62</f>
        <v>31.69690726303045</v>
      </c>
    </row>
    <row r="66" spans="1:4" ht="12.75">
      <c r="A66" t="s">
        <v>47</v>
      </c>
      <c r="B66">
        <f>B65</f>
        <v>91.28709291752769</v>
      </c>
      <c r="C66">
        <f>B66+C65</f>
        <v>167.35967034880076</v>
      </c>
      <c r="D66">
        <f>C66+D65</f>
        <v>199.05657761183122</v>
      </c>
    </row>
    <row r="67" spans="1:14" ht="12.75">
      <c r="A67" t="s">
        <v>48</v>
      </c>
      <c r="N67">
        <f>N64</f>
        <v>57.53473706769812</v>
      </c>
    </row>
    <row r="68" spans="1:14" ht="12.75">
      <c r="A68" t="s">
        <v>49</v>
      </c>
      <c r="N68">
        <f>N67/D66</f>
        <v>0.2890371057212352</v>
      </c>
    </row>
    <row r="69" spans="1:14" ht="12.75">
      <c r="A69" t="s">
        <v>50</v>
      </c>
      <c r="N69">
        <v>6.129</v>
      </c>
    </row>
    <row r="71" spans="1:14" ht="12.75">
      <c r="A71" t="s">
        <v>43</v>
      </c>
      <c r="B71">
        <f>1/POWER(1.15,0.5)</f>
        <v>0.9325048082403138</v>
      </c>
      <c r="C71">
        <f>1/POWER(1.15,1.5)</f>
        <v>0.8108737462959251</v>
      </c>
      <c r="D71">
        <f>1/POWER(1.15,2.5)</f>
        <v>0.7051076054747175</v>
      </c>
      <c r="E71">
        <f>1/POWER(1.15,3.5)</f>
        <v>0.6131370482388848</v>
      </c>
      <c r="F71">
        <f>1/POWER(1.15,4.5)</f>
        <v>0.5331626506425087</v>
      </c>
      <c r="G71">
        <f>1/POWER(1.15,5.5)</f>
        <v>0.4636196962108771</v>
      </c>
      <c r="H71">
        <f>1/POWER(1.15,6.5)</f>
        <v>0.40314756192250184</v>
      </c>
      <c r="I71">
        <f>1/POWER(1.15,7.5)</f>
        <v>0.35056309732391466</v>
      </c>
      <c r="J71">
        <f>1/POWER(1.15,8.5)</f>
        <v>0.30483747593383886</v>
      </c>
      <c r="K71">
        <f>1/POWER(1.15,9.5)</f>
        <v>0.26507606602942513</v>
      </c>
      <c r="L71">
        <f>1/POWER(1.15,10.5)</f>
        <v>0.23050092698210878</v>
      </c>
      <c r="M71">
        <f>1/POWER(1.15,11.5)</f>
        <v>0.20043558868009465</v>
      </c>
      <c r="N71">
        <f>1/POWER(1.15,12.5)</f>
        <v>0.17429181624356058</v>
      </c>
    </row>
    <row r="72" spans="1:14" ht="12.75">
      <c r="A72" t="s">
        <v>44</v>
      </c>
      <c r="B72">
        <f aca="true" t="shared" si="35" ref="B72:N72">B59*B71</f>
        <v>-115.63059622179891</v>
      </c>
      <c r="C72">
        <f t="shared" si="35"/>
        <v>-119.7952437827748</v>
      </c>
      <c r="D72">
        <f t="shared" si="35"/>
        <v>-27.96739925125653</v>
      </c>
      <c r="E72">
        <f t="shared" si="35"/>
        <v>32.109800822607745</v>
      </c>
      <c r="F72">
        <f t="shared" si="35"/>
        <v>35.791992870605156</v>
      </c>
      <c r="G72">
        <f t="shared" si="35"/>
        <v>38.291681482548796</v>
      </c>
      <c r="H72">
        <f t="shared" si="35"/>
        <v>35.3889050957241</v>
      </c>
      <c r="I72">
        <f t="shared" si="35"/>
        <v>31.983526670268827</v>
      </c>
      <c r="J72">
        <f t="shared" si="35"/>
        <v>28.821364560649407</v>
      </c>
      <c r="K72">
        <f t="shared" si="35"/>
        <v>25.891685805390246</v>
      </c>
      <c r="L72">
        <f t="shared" si="35"/>
        <v>23.184625724997396</v>
      </c>
      <c r="M72">
        <f t="shared" si="35"/>
        <v>20.69081007338501</v>
      </c>
      <c r="N72">
        <f t="shared" si="35"/>
        <v>16.767085297801085</v>
      </c>
    </row>
    <row r="73" spans="1:14" ht="12.75">
      <c r="A73" t="s">
        <v>45</v>
      </c>
      <c r="B73">
        <f aca="true" t="shared" si="36" ref="B73:N73">B60*B71</f>
        <v>-115.63059622179891</v>
      </c>
      <c r="C73">
        <f t="shared" si="36"/>
        <v>-220.3435883234695</v>
      </c>
      <c r="D73">
        <f t="shared" si="36"/>
        <v>-219.57051953253435</v>
      </c>
      <c r="E73">
        <f t="shared" si="36"/>
        <v>-158.82108572742214</v>
      </c>
      <c r="F73">
        <f t="shared" si="36"/>
        <v>-102.31329906628369</v>
      </c>
      <c r="G73">
        <f t="shared" si="36"/>
        <v>-50.67640466204572</v>
      </c>
      <c r="H73">
        <f t="shared" si="36"/>
        <v>-8.6775337408374</v>
      </c>
      <c r="I73">
        <f t="shared" si="36"/>
        <v>24.437845156497175</v>
      </c>
      <c r="J73">
        <f t="shared" si="36"/>
        <v>50.07166469673391</v>
      </c>
      <c r="K73">
        <f t="shared" si="36"/>
        <v>69.43226380255017</v>
      </c>
      <c r="L73">
        <f t="shared" si="36"/>
        <v>83.56050729243232</v>
      </c>
      <c r="M73">
        <f t="shared" si="36"/>
        <v>93.35212076245661</v>
      </c>
      <c r="N73">
        <f t="shared" si="36"/>
        <v>97.94284248254597</v>
      </c>
    </row>
    <row r="74" spans="1:4" ht="12.75">
      <c r="A74" t="s">
        <v>46</v>
      </c>
      <c r="B74">
        <f>B10*B71</f>
        <v>93.25048082403138</v>
      </c>
      <c r="C74">
        <f>C10*C71</f>
        <v>81.08737462959252</v>
      </c>
      <c r="D74">
        <f>D10*D71</f>
        <v>35.255380273735874</v>
      </c>
    </row>
    <row r="75" spans="1:4" ht="12.75">
      <c r="A75" t="s">
        <v>47</v>
      </c>
      <c r="B75">
        <f>B74</f>
        <v>93.25048082403138</v>
      </c>
      <c r="C75">
        <f>B75+C74</f>
        <v>174.3378554536239</v>
      </c>
      <c r="D75">
        <f>C75+D74</f>
        <v>209.59323572735977</v>
      </c>
    </row>
    <row r="76" spans="1:14" ht="12.75">
      <c r="A76" t="s">
        <v>48</v>
      </c>
      <c r="N76">
        <f>N73</f>
        <v>97.94284248254597</v>
      </c>
    </row>
    <row r="77" spans="1:14" ht="12.75">
      <c r="A77" t="s">
        <v>49</v>
      </c>
      <c r="N77">
        <f>N76/D75</f>
        <v>0.4672996346597304</v>
      </c>
    </row>
    <row r="78" ht="12.75">
      <c r="A78" t="s">
        <v>50</v>
      </c>
    </row>
    <row r="80" spans="1:14" ht="12.75">
      <c r="A80" t="s">
        <v>43</v>
      </c>
      <c r="B80">
        <f>1/POWER(1.25,0.5)</f>
        <v>0.8944271909999159</v>
      </c>
      <c r="C80">
        <f>1/POWER(1.25,1.5)</f>
        <v>0.7155417527999327</v>
      </c>
      <c r="D80">
        <f>1/POWER(1.25,2.5)</f>
        <v>0.5724334022399462</v>
      </c>
      <c r="E80">
        <f>1/POWER(1.25,3.5)</f>
        <v>0.4579467217919569</v>
      </c>
      <c r="F80">
        <f>1/POWER(1.25,4.5)</f>
        <v>0.36635737743356556</v>
      </c>
      <c r="G80">
        <f>1/POWER(1.25,5.5)</f>
        <v>0.29308590194685247</v>
      </c>
      <c r="H80">
        <f>1/POWER(1.25,6.5)</f>
        <v>0.2344687215574819</v>
      </c>
      <c r="I80">
        <f>1/POWER(1.25,7.5)</f>
        <v>0.18757497724598554</v>
      </c>
      <c r="J80">
        <f>1/POWER(1.25,8.5)</f>
        <v>0.15005998179678842</v>
      </c>
      <c r="K80">
        <f>1/POWER(1.25,9.5)</f>
        <v>0.12004798543743075</v>
      </c>
      <c r="L80">
        <f>1/POWER(1.25,10.5)</f>
        <v>0.09603838834994462</v>
      </c>
      <c r="M80">
        <f>1/POWER(1.25,11.5)</f>
        <v>0.0768307106799557</v>
      </c>
      <c r="N80">
        <f>1/POWER(1.25,12.5)</f>
        <v>0.06146456854396452</v>
      </c>
    </row>
    <row r="81" spans="1:14" ht="12.75">
      <c r="A81" t="s">
        <v>44</v>
      </c>
      <c r="B81">
        <f aca="true" t="shared" si="37" ref="B81:N81">B59*B80</f>
        <v>-110.90897168398956</v>
      </c>
      <c r="C81">
        <f t="shared" si="37"/>
        <v>-105.71127639165087</v>
      </c>
      <c r="D81">
        <f t="shared" si="37"/>
        <v>-22.705007549055203</v>
      </c>
      <c r="E81">
        <f t="shared" si="37"/>
        <v>23.982530604441365</v>
      </c>
      <c r="F81">
        <f t="shared" si="37"/>
        <v>24.59410955623739</v>
      </c>
      <c r="G81">
        <f t="shared" si="37"/>
        <v>24.206805914625644</v>
      </c>
      <c r="H81">
        <f t="shared" si="37"/>
        <v>20.582020378703305</v>
      </c>
      <c r="I81">
        <f t="shared" si="37"/>
        <v>17.113350872407377</v>
      </c>
      <c r="J81">
        <f t="shared" si="37"/>
        <v>14.18766976757256</v>
      </c>
      <c r="K81">
        <f t="shared" si="37"/>
        <v>11.725859550710949</v>
      </c>
      <c r="L81">
        <f t="shared" si="37"/>
        <v>9.659892123983706</v>
      </c>
      <c r="M81">
        <f t="shared" si="37"/>
        <v>7.931174563113049</v>
      </c>
      <c r="N81">
        <f t="shared" si="37"/>
        <v>5.912966459245736</v>
      </c>
    </row>
    <row r="82" spans="1:14" ht="12.75">
      <c r="A82" t="s">
        <v>45</v>
      </c>
      <c r="B82">
        <f aca="true" t="shared" si="38" ref="B82:N82">B60*B80</f>
        <v>-110.90897168398956</v>
      </c>
      <c r="C82">
        <f t="shared" si="38"/>
        <v>-194.4384537388425</v>
      </c>
      <c r="D82">
        <f t="shared" si="38"/>
        <v>-178.25577054012922</v>
      </c>
      <c r="E82">
        <f t="shared" si="38"/>
        <v>-118.62208582766198</v>
      </c>
      <c r="F82">
        <f t="shared" si="38"/>
        <v>-70.3035591058922</v>
      </c>
      <c r="G82">
        <f t="shared" si="38"/>
        <v>-32.03604137008813</v>
      </c>
      <c r="H82">
        <f t="shared" si="38"/>
        <v>-5.04681271736719</v>
      </c>
      <c r="I82">
        <f t="shared" si="38"/>
        <v>13.075900698513625</v>
      </c>
      <c r="J82">
        <f t="shared" si="38"/>
        <v>24.64839032638346</v>
      </c>
      <c r="K82">
        <f t="shared" si="38"/>
        <v>31.444571811817717</v>
      </c>
      <c r="L82">
        <f t="shared" si="38"/>
        <v>34.815549573437885</v>
      </c>
      <c r="M82">
        <f t="shared" si="38"/>
        <v>35.78361422186336</v>
      </c>
      <c r="N82">
        <f t="shared" si="38"/>
        <v>34.53985783673641</v>
      </c>
    </row>
    <row r="83" spans="1:4" ht="12.75">
      <c r="A83" t="s">
        <v>46</v>
      </c>
      <c r="B83">
        <f>B10*B80</f>
        <v>89.44271909999159</v>
      </c>
      <c r="C83">
        <f>C10*C80</f>
        <v>71.55417527999327</v>
      </c>
      <c r="D83">
        <f>D10*D80</f>
        <v>28.62167011199731</v>
      </c>
    </row>
    <row r="84" spans="1:4" ht="12.75">
      <c r="A84" t="s">
        <v>47</v>
      </c>
      <c r="B84">
        <f>B83</f>
        <v>89.44271909999159</v>
      </c>
      <c r="C84">
        <f>B84+C83</f>
        <v>160.99689437998487</v>
      </c>
      <c r="D84">
        <f>C84+D83</f>
        <v>189.61856449198217</v>
      </c>
    </row>
    <row r="85" spans="1:14" ht="12.75">
      <c r="A85" t="s">
        <v>48</v>
      </c>
      <c r="N85">
        <f>N82</f>
        <v>34.53985783673641</v>
      </c>
    </row>
    <row r="86" spans="1:14" ht="12.75">
      <c r="A86" t="s">
        <v>49</v>
      </c>
      <c r="N86">
        <f>N85/D84</f>
        <v>0.1821544105097204</v>
      </c>
    </row>
    <row r="87" ht="12.75">
      <c r="A87" t="s">
        <v>50</v>
      </c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O94"/>
  <sheetViews>
    <sheetView zoomScalePageLayoutView="0" workbookViewId="0" topLeftCell="A70">
      <selection activeCell="B94" sqref="B94"/>
    </sheetView>
  </sheetViews>
  <sheetFormatPr defaultColWidth="9.00390625" defaultRowHeight="12.75"/>
  <sheetData>
    <row r="3" ht="12.75">
      <c r="A3" t="s">
        <v>1</v>
      </c>
    </row>
    <row r="5" spans="1:14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</row>
    <row r="6" ht="12.75">
      <c r="A6" t="s">
        <v>16</v>
      </c>
    </row>
    <row r="7" spans="1:14" ht="12.75">
      <c r="A7" t="s">
        <v>17</v>
      </c>
      <c r="B7">
        <v>0</v>
      </c>
      <c r="C7">
        <v>0</v>
      </c>
      <c r="D7">
        <v>200</v>
      </c>
      <c r="E7">
        <v>300</v>
      </c>
      <c r="F7">
        <f aca="true" t="shared" si="0" ref="F7:N7">E7</f>
        <v>300</v>
      </c>
      <c r="G7">
        <f t="shared" si="0"/>
        <v>300</v>
      </c>
      <c r="H7">
        <f t="shared" si="0"/>
        <v>300</v>
      </c>
      <c r="I7">
        <f t="shared" si="0"/>
        <v>300</v>
      </c>
      <c r="J7">
        <f t="shared" si="0"/>
        <v>300</v>
      </c>
      <c r="K7">
        <f t="shared" si="0"/>
        <v>300</v>
      </c>
      <c r="L7">
        <f t="shared" si="0"/>
        <v>300</v>
      </c>
      <c r="M7">
        <f t="shared" si="0"/>
        <v>300</v>
      </c>
      <c r="N7">
        <f t="shared" si="0"/>
        <v>300</v>
      </c>
    </row>
    <row r="8" spans="1:14" ht="12.75">
      <c r="A8" t="s">
        <v>18</v>
      </c>
      <c r="B8">
        <v>0</v>
      </c>
      <c r="C8">
        <v>0</v>
      </c>
      <c r="D8">
        <v>70</v>
      </c>
      <c r="E8">
        <v>100</v>
      </c>
      <c r="F8">
        <f aca="true" t="shared" si="1" ref="F8:N8">E8</f>
        <v>100</v>
      </c>
      <c r="G8">
        <f t="shared" si="1"/>
        <v>100</v>
      </c>
      <c r="H8">
        <f t="shared" si="1"/>
        <v>100</v>
      </c>
      <c r="I8">
        <f t="shared" si="1"/>
        <v>100</v>
      </c>
      <c r="J8">
        <f t="shared" si="1"/>
        <v>100</v>
      </c>
      <c r="K8">
        <f t="shared" si="1"/>
        <v>100</v>
      </c>
      <c r="L8">
        <f t="shared" si="1"/>
        <v>100</v>
      </c>
      <c r="M8">
        <f t="shared" si="1"/>
        <v>100</v>
      </c>
      <c r="N8">
        <f t="shared" si="1"/>
        <v>100</v>
      </c>
    </row>
    <row r="9" spans="1:14" ht="12.75">
      <c r="A9" t="s">
        <v>19</v>
      </c>
      <c r="B9">
        <v>0</v>
      </c>
      <c r="C9">
        <v>0</v>
      </c>
      <c r="D9">
        <v>100</v>
      </c>
      <c r="E9">
        <v>150</v>
      </c>
      <c r="F9">
        <f aca="true" t="shared" si="2" ref="F9:N9">E9</f>
        <v>150</v>
      </c>
      <c r="G9">
        <f t="shared" si="2"/>
        <v>150</v>
      </c>
      <c r="H9">
        <f t="shared" si="2"/>
        <v>150</v>
      </c>
      <c r="I9">
        <f t="shared" si="2"/>
        <v>150</v>
      </c>
      <c r="J9">
        <f t="shared" si="2"/>
        <v>150</v>
      </c>
      <c r="K9">
        <f t="shared" si="2"/>
        <v>150</v>
      </c>
      <c r="L9">
        <f t="shared" si="2"/>
        <v>150</v>
      </c>
      <c r="M9">
        <f t="shared" si="2"/>
        <v>150</v>
      </c>
      <c r="N9">
        <f t="shared" si="2"/>
        <v>150</v>
      </c>
    </row>
    <row r="10" spans="1:4" ht="12.75">
      <c r="A10" t="s">
        <v>20</v>
      </c>
      <c r="B10">
        <v>100</v>
      </c>
      <c r="C10">
        <v>100</v>
      </c>
      <c r="D10">
        <v>50</v>
      </c>
    </row>
    <row r="11" spans="1:8" ht="12.75">
      <c r="A11" t="s">
        <v>21</v>
      </c>
      <c r="B11">
        <f>B10</f>
        <v>100</v>
      </c>
      <c r="C11">
        <f>B11+C10</f>
        <v>200</v>
      </c>
      <c r="D11">
        <f>C11+D10</f>
        <v>250</v>
      </c>
      <c r="E11">
        <f>D11-E49+E50</f>
        <v>211.80100000000007</v>
      </c>
      <c r="F11">
        <f>E11-F49+F50</f>
        <v>170.9280700000001</v>
      </c>
      <c r="G11">
        <f>F11-G49+G50</f>
        <v>127.39839955000005</v>
      </c>
      <c r="H11">
        <v>0</v>
      </c>
    </row>
    <row r="12" spans="1:14" ht="12.75">
      <c r="A12" t="s">
        <v>22</v>
      </c>
      <c r="F12">
        <v>1.07</v>
      </c>
      <c r="G12">
        <f aca="true" t="shared" si="3" ref="G12:N12">F12-0.005</f>
        <v>1.0650000000000002</v>
      </c>
      <c r="H12">
        <f t="shared" si="3"/>
        <v>1.0600000000000003</v>
      </c>
      <c r="I12">
        <f t="shared" si="3"/>
        <v>1.0550000000000004</v>
      </c>
      <c r="J12">
        <f t="shared" si="3"/>
        <v>1.0500000000000005</v>
      </c>
      <c r="K12">
        <f t="shared" si="3"/>
        <v>1.0450000000000006</v>
      </c>
      <c r="L12">
        <f t="shared" si="3"/>
        <v>1.0400000000000007</v>
      </c>
      <c r="M12">
        <f t="shared" si="3"/>
        <v>1.0350000000000008</v>
      </c>
      <c r="N12">
        <f t="shared" si="3"/>
        <v>1.030000000000001</v>
      </c>
    </row>
    <row r="13" ht="12.75">
      <c r="A13" t="s">
        <v>23</v>
      </c>
    </row>
    <row r="14" spans="1:14" ht="12.75">
      <c r="A14" t="s">
        <v>17</v>
      </c>
      <c r="D14">
        <f>E14*D7/E7</f>
        <v>21.426666666666666</v>
      </c>
      <c r="E14">
        <v>32.14</v>
      </c>
      <c r="F14">
        <f>E14*$F$12</f>
        <v>34.3898</v>
      </c>
      <c r="G14">
        <f>F14*$G$12</f>
        <v>36.62513700000001</v>
      </c>
      <c r="H14">
        <f>G14*$H$12</f>
        <v>38.82264522000002</v>
      </c>
      <c r="I14">
        <f>H14*$I$12</f>
        <v>40.957890707100034</v>
      </c>
      <c r="J14">
        <f>I14*$J$12</f>
        <v>43.005785242455055</v>
      </c>
      <c r="K14">
        <f>J14*$K$12</f>
        <v>44.94104557836556</v>
      </c>
      <c r="L14">
        <f>K14*$L$12</f>
        <v>46.738687401500215</v>
      </c>
      <c r="M14">
        <f>L14*$M$12</f>
        <v>48.37454146055276</v>
      </c>
      <c r="N14">
        <f>M14*$N$12</f>
        <v>49.82577770436939</v>
      </c>
    </row>
    <row r="15" spans="1:14" ht="12.75">
      <c r="A15" t="s">
        <v>18</v>
      </c>
      <c r="D15">
        <f>E15*D8/E8</f>
        <v>13.503</v>
      </c>
      <c r="E15">
        <v>19.29</v>
      </c>
      <c r="F15">
        <f>E15*$F$12</f>
        <v>20.6403</v>
      </c>
      <c r="G15">
        <f>F15*$G$12</f>
        <v>21.981919500000004</v>
      </c>
      <c r="H15">
        <f>G15*$H$12</f>
        <v>23.30083467000001</v>
      </c>
      <c r="I15">
        <f>H15*$I$12</f>
        <v>24.58238057685002</v>
      </c>
      <c r="J15">
        <f>I15*$J$12</f>
        <v>25.811499605692532</v>
      </c>
      <c r="K15">
        <f>J15*$K$12</f>
        <v>26.973017087948712</v>
      </c>
      <c r="L15">
        <f>K15*$L$12</f>
        <v>28.05193777146668</v>
      </c>
      <c r="M15">
        <f>L15*$M$12</f>
        <v>29.033755593468037</v>
      </c>
      <c r="N15">
        <f>M15*$N$12</f>
        <v>29.904768261272103</v>
      </c>
    </row>
    <row r="16" spans="1:14" ht="12.75">
      <c r="A16" t="s">
        <v>19</v>
      </c>
      <c r="D16">
        <f>E16*D9/E9</f>
        <v>18.58</v>
      </c>
      <c r="E16">
        <v>27.87</v>
      </c>
      <c r="F16">
        <f>E16*$F$12</f>
        <v>29.8209</v>
      </c>
      <c r="G16">
        <f>F16*$G$12</f>
        <v>31.75925850000001</v>
      </c>
      <c r="H16">
        <f>G16*$H$12</f>
        <v>33.664814010000015</v>
      </c>
      <c r="I16">
        <f>H16*$I$12</f>
        <v>35.51637878055003</v>
      </c>
      <c r="J16">
        <f>I16*$J$12</f>
        <v>37.292197719577544</v>
      </c>
      <c r="K16">
        <f>J16*$K$12</f>
        <v>38.97034661695856</v>
      </c>
      <c r="L16">
        <f>K16*$L$12</f>
        <v>40.52916048163693</v>
      </c>
      <c r="M16">
        <f>L16*$M$12</f>
        <v>41.94768109849426</v>
      </c>
      <c r="N16">
        <f>M16*$N$12</f>
        <v>43.206111531449125</v>
      </c>
    </row>
    <row r="17" ht="12.75">
      <c r="A17" t="s">
        <v>24</v>
      </c>
    </row>
    <row r="18" spans="1:14" ht="12.75">
      <c r="A18" t="s">
        <v>17</v>
      </c>
      <c r="D18">
        <f>E18*D7/E7</f>
        <v>45</v>
      </c>
      <c r="E18">
        <f>75*0.9</f>
        <v>67.5</v>
      </c>
      <c r="F18">
        <f>E18*$F$12</f>
        <v>72.22500000000001</v>
      </c>
      <c r="G18">
        <f>F18*$G$12</f>
        <v>76.91962500000002</v>
      </c>
      <c r="H18">
        <f>G18*$H$12</f>
        <v>81.53480250000004</v>
      </c>
      <c r="I18">
        <f>H18*$I$12</f>
        <v>86.01921663750008</v>
      </c>
      <c r="J18">
        <f>I18*$J$12</f>
        <v>90.32017746937512</v>
      </c>
      <c r="K18">
        <f>J18*$K$12</f>
        <v>94.38458545549706</v>
      </c>
      <c r="L18">
        <f>K18*$L$12</f>
        <v>98.159968873717</v>
      </c>
      <c r="M18">
        <f>L18*$M$12</f>
        <v>101.59556778429717</v>
      </c>
      <c r="N18">
        <f>M18*$N$12</f>
        <v>104.64343481782618</v>
      </c>
    </row>
    <row r="19" spans="1:14" ht="12.75">
      <c r="A19" t="s">
        <v>18</v>
      </c>
      <c r="D19">
        <f>E19*D8/E8</f>
        <v>28.35</v>
      </c>
      <c r="E19">
        <f>45*0.9</f>
        <v>40.5</v>
      </c>
      <c r="F19">
        <f>E19*$F$12</f>
        <v>43.335</v>
      </c>
      <c r="G19">
        <f>F19*$G$12</f>
        <v>46.15177500000001</v>
      </c>
      <c r="H19">
        <f>G19*$H$12</f>
        <v>48.92088150000002</v>
      </c>
      <c r="I19">
        <f>H19*$I$12</f>
        <v>51.61152998250004</v>
      </c>
      <c r="J19">
        <f>I19*$J$12</f>
        <v>54.19210648162507</v>
      </c>
      <c r="K19">
        <f>J19*$K$12</f>
        <v>56.63075127329823</v>
      </c>
      <c r="L19">
        <f>K19*$L$12</f>
        <v>58.8959813242302</v>
      </c>
      <c r="M19">
        <f>L19*$M$12</f>
        <v>60.957340670578304</v>
      </c>
      <c r="N19">
        <f>M19*$N$12</f>
        <v>62.78606089069571</v>
      </c>
    </row>
    <row r="20" spans="1:14" ht="12.75">
      <c r="A20" t="s">
        <v>19</v>
      </c>
      <c r="D20">
        <f>E20*D9/E9</f>
        <v>39</v>
      </c>
      <c r="E20">
        <f>65*0.9</f>
        <v>58.5</v>
      </c>
      <c r="F20">
        <f>E20*$F$12</f>
        <v>62.595000000000006</v>
      </c>
      <c r="G20">
        <f>F20*$G$12</f>
        <v>66.66367500000001</v>
      </c>
      <c r="H20">
        <f>G20*$H$12</f>
        <v>70.66349550000002</v>
      </c>
      <c r="I20">
        <f>H20*$I$12</f>
        <v>74.54998775250006</v>
      </c>
      <c r="J20">
        <f>I20*$J$12</f>
        <v>78.2774871401251</v>
      </c>
      <c r="K20">
        <f>J20*$K$12</f>
        <v>81.79997406143077</v>
      </c>
      <c r="L20">
        <f>K20*$L$12</f>
        <v>85.07197302388806</v>
      </c>
      <c r="M20">
        <f>L20*$M$12</f>
        <v>88.04949207972422</v>
      </c>
      <c r="N20">
        <f>M20*$N$12</f>
        <v>90.69097684211603</v>
      </c>
    </row>
    <row r="21" ht="12.75">
      <c r="A21" t="s">
        <v>25</v>
      </c>
    </row>
    <row r="22" spans="1:14" ht="12.75">
      <c r="A22" t="s">
        <v>17</v>
      </c>
      <c r="D22">
        <f aca="true" t="shared" si="4" ref="D22:N22">D18*1000/D7</f>
        <v>225</v>
      </c>
      <c r="E22">
        <f t="shared" si="4"/>
        <v>225</v>
      </c>
      <c r="F22">
        <f t="shared" si="4"/>
        <v>240.75000000000006</v>
      </c>
      <c r="G22">
        <f t="shared" si="4"/>
        <v>256.3987500000001</v>
      </c>
      <c r="H22">
        <f t="shared" si="4"/>
        <v>271.7826750000001</v>
      </c>
      <c r="I22">
        <f t="shared" si="4"/>
        <v>286.7307221250003</v>
      </c>
      <c r="J22">
        <f t="shared" si="4"/>
        <v>301.0672582312504</v>
      </c>
      <c r="K22">
        <f t="shared" si="4"/>
        <v>314.61528485165684</v>
      </c>
      <c r="L22">
        <f t="shared" si="4"/>
        <v>327.1998962457234</v>
      </c>
      <c r="M22">
        <f t="shared" si="4"/>
        <v>338.6518926143239</v>
      </c>
      <c r="N22">
        <f t="shared" si="4"/>
        <v>348.8114493927539</v>
      </c>
    </row>
    <row r="23" spans="1:14" ht="12.75">
      <c r="A23" t="s">
        <v>18</v>
      </c>
      <c r="D23">
        <f aca="true" t="shared" si="5" ref="D23:N23">D19*1000/D8</f>
        <v>405</v>
      </c>
      <c r="E23">
        <f t="shared" si="5"/>
        <v>405</v>
      </c>
      <c r="F23">
        <f t="shared" si="5"/>
        <v>433.35</v>
      </c>
      <c r="G23">
        <f t="shared" si="5"/>
        <v>461.5177500000001</v>
      </c>
      <c r="H23">
        <f t="shared" si="5"/>
        <v>489.20881500000024</v>
      </c>
      <c r="I23">
        <f t="shared" si="5"/>
        <v>516.1152998250004</v>
      </c>
      <c r="J23">
        <f t="shared" si="5"/>
        <v>541.9210648162507</v>
      </c>
      <c r="K23">
        <f t="shared" si="5"/>
        <v>566.3075127329823</v>
      </c>
      <c r="L23">
        <f t="shared" si="5"/>
        <v>588.959813242302</v>
      </c>
      <c r="M23">
        <f t="shared" si="5"/>
        <v>609.5734067057831</v>
      </c>
      <c r="N23">
        <f t="shared" si="5"/>
        <v>627.860608906957</v>
      </c>
    </row>
    <row r="24" spans="1:14" ht="12.75">
      <c r="A24" t="s">
        <v>19</v>
      </c>
      <c r="D24">
        <f aca="true" t="shared" si="6" ref="D24:N24">D20*1000/D9</f>
        <v>390</v>
      </c>
      <c r="E24">
        <f t="shared" si="6"/>
        <v>390</v>
      </c>
      <c r="F24">
        <f t="shared" si="6"/>
        <v>417.30000000000007</v>
      </c>
      <c r="G24">
        <f t="shared" si="6"/>
        <v>444.42450000000014</v>
      </c>
      <c r="H24">
        <f t="shared" si="6"/>
        <v>471.0899700000001</v>
      </c>
      <c r="I24">
        <f t="shared" si="6"/>
        <v>496.9999183500004</v>
      </c>
      <c r="J24">
        <f t="shared" si="6"/>
        <v>521.8499142675007</v>
      </c>
      <c r="K24">
        <f t="shared" si="6"/>
        <v>545.3331604095386</v>
      </c>
      <c r="L24">
        <f t="shared" si="6"/>
        <v>567.1464868259204</v>
      </c>
      <c r="M24">
        <f t="shared" si="6"/>
        <v>586.9966138648282</v>
      </c>
      <c r="N24">
        <f t="shared" si="6"/>
        <v>604.6065122807735</v>
      </c>
    </row>
    <row r="25" ht="12.75">
      <c r="A25" t="s">
        <v>26</v>
      </c>
    </row>
    <row r="26" spans="1:14" ht="12.75">
      <c r="A26" t="s">
        <v>17</v>
      </c>
      <c r="D26">
        <f aca="true" t="shared" si="7" ref="D26:N26">D14+D18</f>
        <v>66.42666666666666</v>
      </c>
      <c r="E26">
        <f t="shared" si="7"/>
        <v>99.64</v>
      </c>
      <c r="F26">
        <f t="shared" si="7"/>
        <v>106.6148</v>
      </c>
      <c r="G26">
        <f t="shared" si="7"/>
        <v>113.54476200000003</v>
      </c>
      <c r="H26">
        <f t="shared" si="7"/>
        <v>120.35744772000007</v>
      </c>
      <c r="I26">
        <f t="shared" si="7"/>
        <v>126.97710734460011</v>
      </c>
      <c r="J26">
        <f t="shared" si="7"/>
        <v>133.3259627118302</v>
      </c>
      <c r="K26">
        <f t="shared" si="7"/>
        <v>139.32563103386263</v>
      </c>
      <c r="L26">
        <f t="shared" si="7"/>
        <v>144.8986562752172</v>
      </c>
      <c r="M26">
        <f t="shared" si="7"/>
        <v>149.97010924484994</v>
      </c>
      <c r="N26">
        <f t="shared" si="7"/>
        <v>154.46921252219556</v>
      </c>
    </row>
    <row r="27" spans="1:14" ht="12.75">
      <c r="A27" t="s">
        <v>18</v>
      </c>
      <c r="D27">
        <f aca="true" t="shared" si="8" ref="D27:N27">D15+D19</f>
        <v>41.853</v>
      </c>
      <c r="E27">
        <f t="shared" si="8"/>
        <v>59.79</v>
      </c>
      <c r="F27">
        <f t="shared" si="8"/>
        <v>63.975300000000004</v>
      </c>
      <c r="G27">
        <f t="shared" si="8"/>
        <v>68.13369450000002</v>
      </c>
      <c r="H27">
        <f t="shared" si="8"/>
        <v>72.22171617000004</v>
      </c>
      <c r="I27">
        <f t="shared" si="8"/>
        <v>76.19391055935006</v>
      </c>
      <c r="J27">
        <f t="shared" si="8"/>
        <v>80.00360608731759</v>
      </c>
      <c r="K27">
        <f t="shared" si="8"/>
        <v>83.60376836124695</v>
      </c>
      <c r="L27">
        <f t="shared" si="8"/>
        <v>86.94791909569688</v>
      </c>
      <c r="M27">
        <f t="shared" si="8"/>
        <v>89.99109626404635</v>
      </c>
      <c r="N27">
        <f t="shared" si="8"/>
        <v>92.69082915196782</v>
      </c>
    </row>
    <row r="28" spans="1:15" ht="12.75">
      <c r="A28" t="s">
        <v>19</v>
      </c>
      <c r="D28">
        <f aca="true" t="shared" si="9" ref="D28:N28">D16+D20</f>
        <v>57.58</v>
      </c>
      <c r="E28">
        <f t="shared" si="9"/>
        <v>86.37</v>
      </c>
      <c r="F28">
        <f t="shared" si="9"/>
        <v>92.41590000000001</v>
      </c>
      <c r="G28">
        <f t="shared" si="9"/>
        <v>98.42293350000003</v>
      </c>
      <c r="H28">
        <f t="shared" si="9"/>
        <v>104.32830951000004</v>
      </c>
      <c r="I28">
        <f t="shared" si="9"/>
        <v>110.06636653305009</v>
      </c>
      <c r="J28">
        <f t="shared" si="9"/>
        <v>115.56968485970265</v>
      </c>
      <c r="K28">
        <f t="shared" si="9"/>
        <v>120.77032067838934</v>
      </c>
      <c r="L28">
        <f t="shared" si="9"/>
        <v>125.60113350552498</v>
      </c>
      <c r="M28">
        <f t="shared" si="9"/>
        <v>129.99717317821847</v>
      </c>
      <c r="N28">
        <f t="shared" si="9"/>
        <v>133.89708837356517</v>
      </c>
      <c r="O28">
        <f>SUM(D26:N28)</f>
        <v>3345.974105847299</v>
      </c>
    </row>
    <row r="29" ht="12.75">
      <c r="A29" t="s">
        <v>27</v>
      </c>
    </row>
    <row r="30" spans="1:14" ht="12.75">
      <c r="A30" t="s">
        <v>17</v>
      </c>
      <c r="D30">
        <f aca="true" t="shared" si="10" ref="D30:N30">D26/(D26+D27+D28)*100</f>
        <v>40.04992172097295</v>
      </c>
      <c r="E30">
        <f t="shared" si="10"/>
        <v>40.53702196908055</v>
      </c>
      <c r="F30">
        <f t="shared" si="10"/>
        <v>40.53702196908055</v>
      </c>
      <c r="G30">
        <f t="shared" si="10"/>
        <v>40.53702196908056</v>
      </c>
      <c r="H30">
        <f t="shared" si="10"/>
        <v>40.53702196908056</v>
      </c>
      <c r="I30">
        <f t="shared" si="10"/>
        <v>40.53702196908055</v>
      </c>
      <c r="J30">
        <f t="shared" si="10"/>
        <v>40.53702196908056</v>
      </c>
      <c r="K30">
        <f t="shared" si="10"/>
        <v>40.537021969080556</v>
      </c>
      <c r="L30">
        <f t="shared" si="10"/>
        <v>40.537021969080556</v>
      </c>
      <c r="M30">
        <f t="shared" si="10"/>
        <v>40.537021969080556</v>
      </c>
      <c r="N30">
        <f t="shared" si="10"/>
        <v>40.53702196908055</v>
      </c>
    </row>
    <row r="31" spans="1:14" ht="12.75">
      <c r="A31" t="s">
        <v>18</v>
      </c>
      <c r="D31">
        <f aca="true" t="shared" si="11" ref="D31:N31">D27/(D27+D28+D26)*100</f>
        <v>25.233982945421733</v>
      </c>
      <c r="E31">
        <f t="shared" si="11"/>
        <v>24.324654190398697</v>
      </c>
      <c r="F31">
        <f t="shared" si="11"/>
        <v>24.324654190398697</v>
      </c>
      <c r="G31">
        <f t="shared" si="11"/>
        <v>24.324654190398697</v>
      </c>
      <c r="H31">
        <f t="shared" si="11"/>
        <v>24.324654190398697</v>
      </c>
      <c r="I31">
        <f t="shared" si="11"/>
        <v>24.324654190398697</v>
      </c>
      <c r="J31">
        <f t="shared" si="11"/>
        <v>24.324654190398697</v>
      </c>
      <c r="K31">
        <f t="shared" si="11"/>
        <v>24.324654190398697</v>
      </c>
      <c r="L31">
        <f t="shared" si="11"/>
        <v>24.3246541903987</v>
      </c>
      <c r="M31">
        <f t="shared" si="11"/>
        <v>24.324654190398697</v>
      </c>
      <c r="N31">
        <f t="shared" si="11"/>
        <v>24.324654190398697</v>
      </c>
    </row>
    <row r="32" spans="1:14" ht="12.75">
      <c r="A32" t="s">
        <v>19</v>
      </c>
      <c r="D32">
        <f aca="true" t="shared" si="12" ref="D32:N32">D28/(D26+D27+D28)*100</f>
        <v>34.71609533360532</v>
      </c>
      <c r="E32">
        <f t="shared" si="12"/>
        <v>35.13832384052075</v>
      </c>
      <c r="F32">
        <f t="shared" si="12"/>
        <v>35.13832384052075</v>
      </c>
      <c r="G32">
        <f t="shared" si="12"/>
        <v>35.138323840520755</v>
      </c>
      <c r="H32">
        <f t="shared" si="12"/>
        <v>35.13832384052075</v>
      </c>
      <c r="I32">
        <f t="shared" si="12"/>
        <v>35.13832384052075</v>
      </c>
      <c r="J32">
        <f t="shared" si="12"/>
        <v>35.138323840520755</v>
      </c>
      <c r="K32">
        <f t="shared" si="12"/>
        <v>35.13832384052074</v>
      </c>
      <c r="L32">
        <f t="shared" si="12"/>
        <v>35.138323840520755</v>
      </c>
      <c r="M32">
        <f t="shared" si="12"/>
        <v>35.13832384052075</v>
      </c>
      <c r="N32">
        <f t="shared" si="12"/>
        <v>35.138323840520755</v>
      </c>
    </row>
    <row r="33" ht="12.75">
      <c r="A33" t="s">
        <v>28</v>
      </c>
    </row>
    <row r="34" spans="1:14" ht="12.75">
      <c r="A34" t="s">
        <v>17</v>
      </c>
      <c r="D34">
        <f aca="true" t="shared" si="13" ref="D34:N34">D26/D7*1000</f>
        <v>332.1333333333333</v>
      </c>
      <c r="E34">
        <f t="shared" si="13"/>
        <v>332.1333333333333</v>
      </c>
      <c r="F34">
        <f t="shared" si="13"/>
        <v>355.3826666666667</v>
      </c>
      <c r="G34">
        <f t="shared" si="13"/>
        <v>378.4825400000001</v>
      </c>
      <c r="H34">
        <f t="shared" si="13"/>
        <v>401.19149240000024</v>
      </c>
      <c r="I34">
        <f t="shared" si="13"/>
        <v>423.25702448200036</v>
      </c>
      <c r="J34">
        <f t="shared" si="13"/>
        <v>444.41987570610064</v>
      </c>
      <c r="K34">
        <f t="shared" si="13"/>
        <v>464.41877011287545</v>
      </c>
      <c r="L34">
        <f t="shared" si="13"/>
        <v>482.99552091739065</v>
      </c>
      <c r="M34">
        <f t="shared" si="13"/>
        <v>499.9003641494998</v>
      </c>
      <c r="N34">
        <f t="shared" si="13"/>
        <v>514.8973750739852</v>
      </c>
    </row>
    <row r="35" spans="1:14" ht="12.75">
      <c r="A35" t="s">
        <v>18</v>
      </c>
      <c r="D35">
        <f aca="true" t="shared" si="14" ref="D35:N35">D27/D8*1000</f>
        <v>597.9</v>
      </c>
      <c r="E35">
        <f t="shared" si="14"/>
        <v>597.9</v>
      </c>
      <c r="F35">
        <f t="shared" si="14"/>
        <v>639.753</v>
      </c>
      <c r="G35">
        <f t="shared" si="14"/>
        <v>681.3369450000002</v>
      </c>
      <c r="H35">
        <f t="shared" si="14"/>
        <v>722.2171617000004</v>
      </c>
      <c r="I35">
        <f t="shared" si="14"/>
        <v>761.9391055935006</v>
      </c>
      <c r="J35">
        <f t="shared" si="14"/>
        <v>800.0360608731759</v>
      </c>
      <c r="K35">
        <f t="shared" si="14"/>
        <v>836.0376836124694</v>
      </c>
      <c r="L35">
        <f t="shared" si="14"/>
        <v>869.4791909569688</v>
      </c>
      <c r="M35">
        <f t="shared" si="14"/>
        <v>899.9109626404635</v>
      </c>
      <c r="N35">
        <f t="shared" si="14"/>
        <v>926.9082915196782</v>
      </c>
    </row>
    <row r="36" spans="1:14" ht="12.75">
      <c r="A36" t="s">
        <v>19</v>
      </c>
      <c r="D36">
        <f aca="true" t="shared" si="15" ref="D36:N36">D28/D9*1000</f>
        <v>575.8</v>
      </c>
      <c r="E36">
        <f t="shared" si="15"/>
        <v>575.8</v>
      </c>
      <c r="F36">
        <f t="shared" si="15"/>
        <v>616.106</v>
      </c>
      <c r="G36">
        <f t="shared" si="15"/>
        <v>656.1528900000002</v>
      </c>
      <c r="H36">
        <f t="shared" si="15"/>
        <v>695.5220634000002</v>
      </c>
      <c r="I36">
        <f t="shared" si="15"/>
        <v>733.7757768870006</v>
      </c>
      <c r="J36">
        <f t="shared" si="15"/>
        <v>770.4645657313511</v>
      </c>
      <c r="K36">
        <f t="shared" si="15"/>
        <v>805.1354711892623</v>
      </c>
      <c r="L36">
        <f t="shared" si="15"/>
        <v>837.3408900368332</v>
      </c>
      <c r="M36">
        <f t="shared" si="15"/>
        <v>866.6478211881231</v>
      </c>
      <c r="N36">
        <f t="shared" si="15"/>
        <v>892.6472558237678</v>
      </c>
    </row>
    <row r="37" ht="12.75">
      <c r="A37" t="s">
        <v>29</v>
      </c>
    </row>
    <row r="38" spans="1:14" ht="12.75">
      <c r="A38" t="s">
        <v>17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</row>
    <row r="39" spans="1:14" ht="12.75">
      <c r="A39" t="s">
        <v>18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</row>
    <row r="40" spans="1:14" ht="12.75">
      <c r="A40" t="s">
        <v>19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>
        <v>30</v>
      </c>
      <c r="K40">
        <v>30</v>
      </c>
      <c r="L40">
        <v>30</v>
      </c>
      <c r="M40">
        <v>30</v>
      </c>
      <c r="N40">
        <v>30</v>
      </c>
    </row>
    <row r="41" ht="12.75">
      <c r="A41" t="s">
        <v>30</v>
      </c>
    </row>
    <row r="42" spans="1:14" ht="12.75">
      <c r="A42" t="s">
        <v>17</v>
      </c>
      <c r="D42">
        <f aca="true" t="shared" si="16" ref="D42:N42">D34*(1+D38/100)</f>
        <v>415.16666666666663</v>
      </c>
      <c r="E42">
        <f t="shared" si="16"/>
        <v>415.16666666666663</v>
      </c>
      <c r="F42">
        <f t="shared" si="16"/>
        <v>444.22833333333335</v>
      </c>
      <c r="G42">
        <f t="shared" si="16"/>
        <v>473.1031750000001</v>
      </c>
      <c r="H42">
        <f t="shared" si="16"/>
        <v>501.4893655000003</v>
      </c>
      <c r="I42">
        <f t="shared" si="16"/>
        <v>529.0712806025005</v>
      </c>
      <c r="J42">
        <f t="shared" si="16"/>
        <v>555.5248446326258</v>
      </c>
      <c r="K42">
        <f t="shared" si="16"/>
        <v>580.5234626410943</v>
      </c>
      <c r="L42">
        <f t="shared" si="16"/>
        <v>603.7444011467383</v>
      </c>
      <c r="M42">
        <f t="shared" si="16"/>
        <v>624.8754551868748</v>
      </c>
      <c r="N42">
        <f t="shared" si="16"/>
        <v>643.6217188424815</v>
      </c>
    </row>
    <row r="43" spans="1:14" ht="12.75">
      <c r="A43" t="s">
        <v>18</v>
      </c>
      <c r="D43">
        <f aca="true" t="shared" si="17" ref="D43:N43">D35*(1+D39/100)</f>
        <v>717.4799999999999</v>
      </c>
      <c r="E43">
        <f t="shared" si="17"/>
        <v>717.4799999999999</v>
      </c>
      <c r="F43">
        <f t="shared" si="17"/>
        <v>767.7036</v>
      </c>
      <c r="G43">
        <f t="shared" si="17"/>
        <v>817.6043340000002</v>
      </c>
      <c r="H43">
        <f t="shared" si="17"/>
        <v>866.6605940400004</v>
      </c>
      <c r="I43">
        <f t="shared" si="17"/>
        <v>914.3269267122007</v>
      </c>
      <c r="J43">
        <f t="shared" si="17"/>
        <v>960.043273047811</v>
      </c>
      <c r="K43">
        <f t="shared" si="17"/>
        <v>1003.2452203349633</v>
      </c>
      <c r="L43">
        <f t="shared" si="17"/>
        <v>1043.3750291483625</v>
      </c>
      <c r="M43">
        <f t="shared" si="17"/>
        <v>1079.8931551685562</v>
      </c>
      <c r="N43">
        <f t="shared" si="17"/>
        <v>1112.2899498236138</v>
      </c>
    </row>
    <row r="44" spans="1:14" ht="12.75">
      <c r="A44" t="s">
        <v>19</v>
      </c>
      <c r="D44">
        <f aca="true" t="shared" si="18" ref="D44:N44">D36*(1+D40/100)</f>
        <v>748.54</v>
      </c>
      <c r="E44">
        <f t="shared" si="18"/>
        <v>748.54</v>
      </c>
      <c r="F44">
        <f t="shared" si="18"/>
        <v>800.9378</v>
      </c>
      <c r="G44">
        <f t="shared" si="18"/>
        <v>852.9987570000003</v>
      </c>
      <c r="H44">
        <f t="shared" si="18"/>
        <v>904.1786824200003</v>
      </c>
      <c r="I44">
        <f t="shared" si="18"/>
        <v>953.9085099531007</v>
      </c>
      <c r="J44">
        <f t="shared" si="18"/>
        <v>1001.6039354507565</v>
      </c>
      <c r="K44">
        <f t="shared" si="18"/>
        <v>1046.676112546041</v>
      </c>
      <c r="L44">
        <f t="shared" si="18"/>
        <v>1088.5431570478831</v>
      </c>
      <c r="M44">
        <f t="shared" si="18"/>
        <v>1126.6421675445602</v>
      </c>
      <c r="N44">
        <f t="shared" si="18"/>
        <v>1160.441432570898</v>
      </c>
    </row>
    <row r="45" ht="12.75">
      <c r="A45" t="s">
        <v>31</v>
      </c>
    </row>
    <row r="46" spans="1:14" ht="12.75">
      <c r="A46" t="s">
        <v>17</v>
      </c>
      <c r="D46">
        <f aca="true" t="shared" si="19" ref="D46:N46">D42*D7/1000</f>
        <v>83.03333333333333</v>
      </c>
      <c r="E46">
        <f t="shared" si="19"/>
        <v>124.54999999999998</v>
      </c>
      <c r="F46">
        <f t="shared" si="19"/>
        <v>133.2685</v>
      </c>
      <c r="G46">
        <f t="shared" si="19"/>
        <v>141.93095250000002</v>
      </c>
      <c r="H46">
        <f t="shared" si="19"/>
        <v>150.4468096500001</v>
      </c>
      <c r="I46">
        <f t="shared" si="19"/>
        <v>158.72138418075014</v>
      </c>
      <c r="J46">
        <f t="shared" si="19"/>
        <v>166.65745338978772</v>
      </c>
      <c r="K46">
        <f t="shared" si="19"/>
        <v>174.1570387923283</v>
      </c>
      <c r="L46">
        <f t="shared" si="19"/>
        <v>181.1233203440215</v>
      </c>
      <c r="M46">
        <f t="shared" si="19"/>
        <v>187.46263655606245</v>
      </c>
      <c r="N46">
        <f t="shared" si="19"/>
        <v>193.08651565274445</v>
      </c>
    </row>
    <row r="47" spans="1:14" ht="12.75">
      <c r="A47" t="s">
        <v>18</v>
      </c>
      <c r="D47">
        <f aca="true" t="shared" si="20" ref="D47:N47">D43*D8/1000</f>
        <v>50.22359999999999</v>
      </c>
      <c r="E47">
        <f t="shared" si="20"/>
        <v>71.74799999999999</v>
      </c>
      <c r="F47">
        <f t="shared" si="20"/>
        <v>76.77036</v>
      </c>
      <c r="G47">
        <f t="shared" si="20"/>
        <v>81.76043340000003</v>
      </c>
      <c r="H47">
        <f t="shared" si="20"/>
        <v>86.66605940400004</v>
      </c>
      <c r="I47">
        <f t="shared" si="20"/>
        <v>91.43269267122007</v>
      </c>
      <c r="J47">
        <f t="shared" si="20"/>
        <v>96.0043273047811</v>
      </c>
      <c r="K47">
        <f t="shared" si="20"/>
        <v>100.32452203349632</v>
      </c>
      <c r="L47">
        <f t="shared" si="20"/>
        <v>104.33750291483625</v>
      </c>
      <c r="M47">
        <f t="shared" si="20"/>
        <v>107.98931551685561</v>
      </c>
      <c r="N47">
        <f t="shared" si="20"/>
        <v>111.22899498236139</v>
      </c>
    </row>
    <row r="48" spans="1:15" ht="12.75">
      <c r="A48" t="s">
        <v>19</v>
      </c>
      <c r="D48">
        <f aca="true" t="shared" si="21" ref="D48:N48">D44*D9/1000</f>
        <v>74.854</v>
      </c>
      <c r="E48">
        <f t="shared" si="21"/>
        <v>112.281</v>
      </c>
      <c r="F48">
        <f t="shared" si="21"/>
        <v>120.14067000000001</v>
      </c>
      <c r="G48">
        <f t="shared" si="21"/>
        <v>127.94981355000004</v>
      </c>
      <c r="H48">
        <f t="shared" si="21"/>
        <v>135.62680236300005</v>
      </c>
      <c r="I48">
        <f t="shared" si="21"/>
        <v>143.0862764929651</v>
      </c>
      <c r="J48">
        <f t="shared" si="21"/>
        <v>150.24059031761348</v>
      </c>
      <c r="K48">
        <f t="shared" si="21"/>
        <v>157.00141688190612</v>
      </c>
      <c r="L48">
        <f t="shared" si="21"/>
        <v>163.28147355718247</v>
      </c>
      <c r="M48">
        <f t="shared" si="21"/>
        <v>168.99632513168402</v>
      </c>
      <c r="N48">
        <f t="shared" si="21"/>
        <v>174.0662148856347</v>
      </c>
      <c r="O48">
        <f>SUM(D46:N48)</f>
        <v>4200.4483358065645</v>
      </c>
    </row>
    <row r="49" spans="1:15" ht="12.75">
      <c r="A49" t="s">
        <v>32</v>
      </c>
      <c r="D49">
        <f aca="true" t="shared" si="22" ref="D49:N49">(D46+D47+D48)-(D26+D27+D28)</f>
        <v>42.25126666666665</v>
      </c>
      <c r="E49">
        <f t="shared" si="22"/>
        <v>62.77899999999994</v>
      </c>
      <c r="F49">
        <f t="shared" si="22"/>
        <v>67.17352999999997</v>
      </c>
      <c r="G49">
        <f t="shared" si="22"/>
        <v>71.53980945000006</v>
      </c>
      <c r="H49">
        <f t="shared" si="22"/>
        <v>75.83219801700005</v>
      </c>
      <c r="I49">
        <f t="shared" si="22"/>
        <v>80.00296890793504</v>
      </c>
      <c r="J49">
        <f t="shared" si="22"/>
        <v>84.00311735333196</v>
      </c>
      <c r="K49">
        <f t="shared" si="22"/>
        <v>87.78325763423186</v>
      </c>
      <c r="L49">
        <f t="shared" si="22"/>
        <v>91.29458793960123</v>
      </c>
      <c r="M49">
        <f t="shared" si="22"/>
        <v>94.48989851748729</v>
      </c>
      <c r="N49">
        <f t="shared" si="22"/>
        <v>97.32459547301204</v>
      </c>
      <c r="O49">
        <f>SUM(D49:N49)</f>
        <v>854.474229959266</v>
      </c>
    </row>
    <row r="50" spans="1:14" ht="12.75">
      <c r="A50" t="s">
        <v>33</v>
      </c>
      <c r="D50">
        <f aca="true" t="shared" si="23" ref="D50:N50">(D26+D27+D28)/10</f>
        <v>16.585966666666668</v>
      </c>
      <c r="E50">
        <f t="shared" si="23"/>
        <v>24.580000000000002</v>
      </c>
      <c r="F50">
        <f t="shared" si="23"/>
        <v>26.300600000000003</v>
      </c>
      <c r="G50">
        <f t="shared" si="23"/>
        <v>28.010139000000002</v>
      </c>
      <c r="H50">
        <f t="shared" si="23"/>
        <v>29.690747340000012</v>
      </c>
      <c r="I50">
        <f t="shared" si="23"/>
        <v>31.32373844370003</v>
      </c>
      <c r="J50">
        <f t="shared" si="23"/>
        <v>32.88992536588504</v>
      </c>
      <c r="K50">
        <f t="shared" si="23"/>
        <v>34.369972007349894</v>
      </c>
      <c r="L50">
        <f t="shared" si="23"/>
        <v>35.7447708876439</v>
      </c>
      <c r="M50">
        <f t="shared" si="23"/>
        <v>36.995837868711476</v>
      </c>
      <c r="N50">
        <f t="shared" si="23"/>
        <v>38.10571300477285</v>
      </c>
    </row>
    <row r="51" spans="1:14" ht="12.75">
      <c r="A51" t="s">
        <v>34</v>
      </c>
      <c r="B51">
        <f aca="true" t="shared" si="24" ref="B51:G51">B11*0.2</f>
        <v>20</v>
      </c>
      <c r="C51">
        <f t="shared" si="24"/>
        <v>40</v>
      </c>
      <c r="D51">
        <f t="shared" si="24"/>
        <v>50</v>
      </c>
      <c r="E51">
        <f t="shared" si="24"/>
        <v>42.36020000000002</v>
      </c>
      <c r="F51">
        <f t="shared" si="24"/>
        <v>34.18561400000002</v>
      </c>
      <c r="G51">
        <f t="shared" si="24"/>
        <v>25.479679910000012</v>
      </c>
      <c r="H51">
        <v>0</v>
      </c>
      <c r="I51">
        <f aca="true" t="shared" si="25" ref="I51:N51">I11*0.2</f>
        <v>0</v>
      </c>
      <c r="J51">
        <f t="shared" si="25"/>
        <v>0</v>
      </c>
      <c r="K51">
        <f t="shared" si="25"/>
        <v>0</v>
      </c>
      <c r="L51">
        <f t="shared" si="25"/>
        <v>0</v>
      </c>
      <c r="M51">
        <f t="shared" si="25"/>
        <v>0</v>
      </c>
      <c r="N51">
        <f t="shared" si="25"/>
        <v>0</v>
      </c>
    </row>
    <row r="52" spans="1:4" ht="12.75">
      <c r="A52" t="s">
        <v>35</v>
      </c>
      <c r="B52">
        <f>-(B49-B50-B51)</f>
        <v>20</v>
      </c>
      <c r="C52">
        <f>-(C49-C50-C51)+B53</f>
        <v>44</v>
      </c>
      <c r="D52">
        <f>-(D49-D50-D51)+C53</f>
        <v>32.69470000000001</v>
      </c>
    </row>
    <row r="53" spans="1:4" ht="12.75">
      <c r="A53" t="s">
        <v>36</v>
      </c>
      <c r="B53">
        <f>B52*0.2</f>
        <v>4</v>
      </c>
      <c r="C53">
        <f>C52*0.19</f>
        <v>8.36</v>
      </c>
      <c r="D53">
        <f>D52*0.18</f>
        <v>5.885046000000002</v>
      </c>
    </row>
    <row r="54" spans="1:15" ht="12.75">
      <c r="A54" t="s">
        <v>37</v>
      </c>
      <c r="B54">
        <f>-B51-B53</f>
        <v>-24</v>
      </c>
      <c r="C54">
        <f>-C51-C53</f>
        <v>-48.36</v>
      </c>
      <c r="D54">
        <f aca="true" t="shared" si="26" ref="D54:N54">D49-D50-D51-D53</f>
        <v>-30.21974600000002</v>
      </c>
      <c r="E54">
        <f t="shared" si="26"/>
        <v>-4.161200000000079</v>
      </c>
      <c r="F54">
        <f t="shared" si="26"/>
        <v>6.687315999999946</v>
      </c>
      <c r="G54">
        <f t="shared" si="26"/>
        <v>18.04999054000005</v>
      </c>
      <c r="H54">
        <f t="shared" si="26"/>
        <v>46.14145067700004</v>
      </c>
      <c r="I54">
        <f t="shared" si="26"/>
        <v>48.67923046423501</v>
      </c>
      <c r="J54">
        <f t="shared" si="26"/>
        <v>51.11319198744692</v>
      </c>
      <c r="K54">
        <f t="shared" si="26"/>
        <v>53.413285626881965</v>
      </c>
      <c r="L54">
        <f t="shared" si="26"/>
        <v>55.549817051957326</v>
      </c>
      <c r="M54">
        <f t="shared" si="26"/>
        <v>57.494060648775815</v>
      </c>
      <c r="N54">
        <f t="shared" si="26"/>
        <v>59.21888246823919</v>
      </c>
      <c r="O54">
        <f>SUM(B54:N54)</f>
        <v>289.60627946453616</v>
      </c>
    </row>
    <row r="55" spans="1:14" ht="12.75">
      <c r="A55" t="s">
        <v>38</v>
      </c>
      <c r="B55">
        <v>0</v>
      </c>
      <c r="C55">
        <v>0</v>
      </c>
      <c r="D55">
        <v>0</v>
      </c>
      <c r="E55">
        <f aca="true" t="shared" si="27" ref="E55:N55">E54*0.3</f>
        <v>-1.2483600000000237</v>
      </c>
      <c r="F55">
        <f t="shared" si="27"/>
        <v>2.006194799999984</v>
      </c>
      <c r="G55">
        <f t="shared" si="27"/>
        <v>5.414997162000015</v>
      </c>
      <c r="H55">
        <f t="shared" si="27"/>
        <v>13.842435203100012</v>
      </c>
      <c r="I55">
        <f t="shared" si="27"/>
        <v>14.603769139270502</v>
      </c>
      <c r="J55">
        <f t="shared" si="27"/>
        <v>15.333957596234075</v>
      </c>
      <c r="K55">
        <f t="shared" si="27"/>
        <v>16.023985688064588</v>
      </c>
      <c r="L55">
        <f t="shared" si="27"/>
        <v>16.664945115587198</v>
      </c>
      <c r="M55">
        <f t="shared" si="27"/>
        <v>17.248218194632745</v>
      </c>
      <c r="N55">
        <f t="shared" si="27"/>
        <v>17.765664740471756</v>
      </c>
    </row>
    <row r="56" spans="1:15" ht="12.75">
      <c r="A56" t="s">
        <v>39</v>
      </c>
      <c r="B56">
        <f aca="true" t="shared" si="28" ref="B56:N56">B54-B55</f>
        <v>-24</v>
      </c>
      <c r="C56">
        <f t="shared" si="28"/>
        <v>-48.36</v>
      </c>
      <c r="D56">
        <f t="shared" si="28"/>
        <v>-30.21974600000002</v>
      </c>
      <c r="E56">
        <f t="shared" si="28"/>
        <v>-2.912840000000055</v>
      </c>
      <c r="F56">
        <f t="shared" si="28"/>
        <v>4.6811211999999625</v>
      </c>
      <c r="G56">
        <f t="shared" si="28"/>
        <v>12.634993378000035</v>
      </c>
      <c r="H56">
        <f t="shared" si="28"/>
        <v>32.29901547390003</v>
      </c>
      <c r="I56">
        <f t="shared" si="28"/>
        <v>34.07546132496451</v>
      </c>
      <c r="J56">
        <f t="shared" si="28"/>
        <v>35.77923439121284</v>
      </c>
      <c r="K56">
        <f t="shared" si="28"/>
        <v>37.38929993881737</v>
      </c>
      <c r="L56">
        <f t="shared" si="28"/>
        <v>38.88487193637013</v>
      </c>
      <c r="M56">
        <f t="shared" si="28"/>
        <v>40.24584245414307</v>
      </c>
      <c r="N56">
        <f t="shared" si="28"/>
        <v>41.45321772776743</v>
      </c>
      <c r="O56">
        <f>SUM(B56:N56)</f>
        <v>171.9504718251753</v>
      </c>
    </row>
    <row r="57" spans="1:14" ht="12.75">
      <c r="A57" t="s">
        <v>40</v>
      </c>
      <c r="C57">
        <f>0.208*3</f>
        <v>0.624</v>
      </c>
      <c r="D57">
        <f>0.208*12+1.875*5</f>
        <v>11.871</v>
      </c>
      <c r="E57">
        <f aca="true" t="shared" si="29" ref="E57:M57">0.208*12+1.875*12</f>
        <v>24.996</v>
      </c>
      <c r="F57">
        <f t="shared" si="29"/>
        <v>24.996</v>
      </c>
      <c r="G57">
        <f t="shared" si="29"/>
        <v>24.996</v>
      </c>
      <c r="H57">
        <f t="shared" si="29"/>
        <v>24.996</v>
      </c>
      <c r="I57">
        <f t="shared" si="29"/>
        <v>24.996</v>
      </c>
      <c r="J57">
        <f t="shared" si="29"/>
        <v>24.996</v>
      </c>
      <c r="K57">
        <f t="shared" si="29"/>
        <v>24.996</v>
      </c>
      <c r="L57">
        <f t="shared" si="29"/>
        <v>24.996</v>
      </c>
      <c r="M57">
        <f t="shared" si="29"/>
        <v>24.996</v>
      </c>
      <c r="N57">
        <f>1.875*7+0.208*12</f>
        <v>15.621</v>
      </c>
    </row>
    <row r="59" spans="1:14" ht="12.75">
      <c r="A59" t="s">
        <v>41</v>
      </c>
      <c r="B59">
        <f>-B10+B56</f>
        <v>-124</v>
      </c>
      <c r="C59">
        <f aca="true" t="shared" si="30" ref="C59:N59">-C10+C56+C57</f>
        <v>-147.73600000000002</v>
      </c>
      <c r="D59">
        <f t="shared" si="30"/>
        <v>-68.34874600000002</v>
      </c>
      <c r="E59">
        <f t="shared" si="30"/>
        <v>22.083159999999943</v>
      </c>
      <c r="F59">
        <f t="shared" si="30"/>
        <v>29.67712119999996</v>
      </c>
      <c r="G59">
        <f t="shared" si="30"/>
        <v>37.630993378000035</v>
      </c>
      <c r="H59">
        <f t="shared" si="30"/>
        <v>57.29501547390002</v>
      </c>
      <c r="I59">
        <f t="shared" si="30"/>
        <v>59.0714613249645</v>
      </c>
      <c r="J59">
        <f t="shared" si="30"/>
        <v>60.775234391212834</v>
      </c>
      <c r="K59">
        <f t="shared" si="30"/>
        <v>62.38529993881737</v>
      </c>
      <c r="L59">
        <f t="shared" si="30"/>
        <v>63.88087193637013</v>
      </c>
      <c r="M59">
        <f t="shared" si="30"/>
        <v>65.24184245414307</v>
      </c>
      <c r="N59">
        <f t="shared" si="30"/>
        <v>57.07421772776743</v>
      </c>
    </row>
    <row r="60" spans="1:14" ht="12.75">
      <c r="A60" t="s">
        <v>42</v>
      </c>
      <c r="B60">
        <f>B59</f>
        <v>-124</v>
      </c>
      <c r="C60">
        <f aca="true" t="shared" si="31" ref="C60:N60">C59+B60</f>
        <v>-271.736</v>
      </c>
      <c r="D60">
        <f t="shared" si="31"/>
        <v>-340.084746</v>
      </c>
      <c r="E60">
        <f t="shared" si="31"/>
        <v>-318.00158600000003</v>
      </c>
      <c r="F60">
        <f t="shared" si="31"/>
        <v>-288.3244648000001</v>
      </c>
      <c r="G60">
        <f t="shared" si="31"/>
        <v>-250.69347142200007</v>
      </c>
      <c r="H60">
        <f t="shared" si="31"/>
        <v>-193.39845594810004</v>
      </c>
      <c r="I60">
        <f t="shared" si="31"/>
        <v>-134.32699462313553</v>
      </c>
      <c r="J60">
        <f t="shared" si="31"/>
        <v>-73.5517602319227</v>
      </c>
      <c r="K60">
        <f t="shared" si="31"/>
        <v>-11.166460293105331</v>
      </c>
      <c r="L60">
        <f t="shared" si="31"/>
        <v>52.714411643264796</v>
      </c>
      <c r="M60">
        <f t="shared" si="31"/>
        <v>117.95625409740786</v>
      </c>
      <c r="N60">
        <f t="shared" si="31"/>
        <v>175.0304718251753</v>
      </c>
    </row>
    <row r="62" spans="1:14" ht="12.75">
      <c r="A62" t="s">
        <v>43</v>
      </c>
      <c r="B62">
        <f>1/POWER(1.2,0.5)</f>
        <v>0.9128709291752769</v>
      </c>
      <c r="C62">
        <f>1/POWER(1.2,1.5)</f>
        <v>0.7607257743127307</v>
      </c>
      <c r="D62">
        <f>1/POWER(1.2,2.5)</f>
        <v>0.633938145260609</v>
      </c>
      <c r="E62">
        <f>1/POWER(1.2,3.5)</f>
        <v>0.5282817877171742</v>
      </c>
      <c r="F62">
        <f>1/POWER(1.2,4.5)</f>
        <v>0.44023482309764517</v>
      </c>
      <c r="G62">
        <f>1/POWER(1.2,5.5)</f>
        <v>0.36686235258137107</v>
      </c>
      <c r="H62">
        <f>1/POWER(1.2,6.5)</f>
        <v>0.3057186271511425</v>
      </c>
      <c r="I62">
        <f>1/POWER(1.2,7.5)</f>
        <v>0.25476552262595203</v>
      </c>
      <c r="J62">
        <f>1/POWER(1.2,8.5)</f>
        <v>0.21230460218829345</v>
      </c>
      <c r="K62">
        <f>1/POWER(1.2,9.5)</f>
        <v>0.17692050182357785</v>
      </c>
      <c r="L62">
        <f>1/POWER(1.2,10.5)</f>
        <v>0.14743375151964822</v>
      </c>
      <c r="M62">
        <f>1/POWER(1.2,11.5)</f>
        <v>0.12286145959970685</v>
      </c>
      <c r="N62">
        <f>1/POWER(1.2,12.5)</f>
        <v>0.1023845496664224</v>
      </c>
    </row>
    <row r="63" spans="1:14" ht="12.75">
      <c r="A63" t="s">
        <v>44</v>
      </c>
      <c r="B63">
        <f aca="true" t="shared" si="32" ref="B63:N63">B59*B62</f>
        <v>-113.19599521773434</v>
      </c>
      <c r="C63">
        <f t="shared" si="32"/>
        <v>-112.3865829938656</v>
      </c>
      <c r="D63">
        <f t="shared" si="32"/>
        <v>-43.32887727012848</v>
      </c>
      <c r="E63">
        <f t="shared" si="32"/>
        <v>11.666131243244362</v>
      </c>
      <c r="F63">
        <f t="shared" si="32"/>
        <v>13.064902201529357</v>
      </c>
      <c r="G63">
        <f t="shared" si="32"/>
        <v>13.805394760627088</v>
      </c>
      <c r="H63">
        <f t="shared" si="32"/>
        <v>17.51615347328418</v>
      </c>
      <c r="I63">
        <f t="shared" si="32"/>
        <v>15.049371716733294</v>
      </c>
      <c r="J63">
        <f t="shared" si="32"/>
        <v>12.902861960326732</v>
      </c>
      <c r="K63">
        <f t="shared" si="32"/>
        <v>11.03723857158999</v>
      </c>
      <c r="L63">
        <f t="shared" si="32"/>
        <v>9.418196599925261</v>
      </c>
      <c r="M63">
        <f t="shared" si="32"/>
        <v>8.015707990890137</v>
      </c>
      <c r="N63">
        <f t="shared" si="32"/>
        <v>5.84351807962081</v>
      </c>
    </row>
    <row r="64" spans="1:14" ht="12.75">
      <c r="A64" t="s">
        <v>45</v>
      </c>
      <c r="B64">
        <f aca="true" t="shared" si="33" ref="B64:N64">B60*B62</f>
        <v>-113.19599521773434</v>
      </c>
      <c r="C64">
        <f t="shared" si="33"/>
        <v>-206.71657900864417</v>
      </c>
      <c r="D64">
        <f t="shared" si="33"/>
        <v>-215.5926931106653</v>
      </c>
      <c r="E64">
        <f t="shared" si="33"/>
        <v>-167.9944463489767</v>
      </c>
      <c r="F64">
        <f t="shared" si="33"/>
        <v>-126.93046975595126</v>
      </c>
      <c r="G64">
        <f t="shared" si="33"/>
        <v>-91.96999670266567</v>
      </c>
      <c r="H64">
        <f t="shared" si="33"/>
        <v>-59.12551044560385</v>
      </c>
      <c r="I64">
        <f t="shared" si="33"/>
        <v>-34.22188698793657</v>
      </c>
      <c r="J64">
        <f t="shared" si="33"/>
        <v>-15.61537719628709</v>
      </c>
      <c r="K64">
        <f t="shared" si="33"/>
        <v>-1.9755757586492513</v>
      </c>
      <c r="L64">
        <f t="shared" si="33"/>
        <v>7.771883467717553</v>
      </c>
      <c r="M64">
        <f t="shared" si="33"/>
        <v>14.492277547321432</v>
      </c>
      <c r="N64">
        <f t="shared" si="33"/>
        <v>17.920416035722006</v>
      </c>
    </row>
    <row r="65" spans="1:4" ht="12.75">
      <c r="A65" t="s">
        <v>46</v>
      </c>
      <c r="B65">
        <f>B10*B62</f>
        <v>91.28709291752769</v>
      </c>
      <c r="C65">
        <f>C10*C62</f>
        <v>76.07257743127307</v>
      </c>
      <c r="D65">
        <f>D10*D62</f>
        <v>31.69690726303045</v>
      </c>
    </row>
    <row r="66" spans="1:4" ht="12.75">
      <c r="A66" t="s">
        <v>47</v>
      </c>
      <c r="B66">
        <f>B65</f>
        <v>91.28709291752769</v>
      </c>
      <c r="C66">
        <f>B66+C65</f>
        <v>167.35967034880076</v>
      </c>
      <c r="D66">
        <f>C66+D65</f>
        <v>199.05657761183122</v>
      </c>
    </row>
    <row r="67" spans="1:14" ht="12.75">
      <c r="A67" t="s">
        <v>48</v>
      </c>
      <c r="N67">
        <f>N64</f>
        <v>17.920416035722006</v>
      </c>
    </row>
    <row r="68" spans="1:14" ht="12.75">
      <c r="A68" t="s">
        <v>49</v>
      </c>
      <c r="N68">
        <f>N67/D66</f>
        <v>0.09002674641913908</v>
      </c>
    </row>
    <row r="69" spans="1:14" ht="12.75">
      <c r="A69" t="s">
        <v>50</v>
      </c>
      <c r="N69">
        <v>6.129</v>
      </c>
    </row>
    <row r="71" spans="1:14" ht="12.75">
      <c r="A71" t="s">
        <v>43</v>
      </c>
      <c r="B71">
        <f>1/POWER(1.15,0.5)</f>
        <v>0.9325048082403138</v>
      </c>
      <c r="C71">
        <f>1/POWER(1.15,1.5)</f>
        <v>0.8108737462959251</v>
      </c>
      <c r="D71">
        <f>1/POWER(1.15,2.5)</f>
        <v>0.7051076054747175</v>
      </c>
      <c r="E71">
        <f>1/POWER(1.15,3.5)</f>
        <v>0.6131370482388848</v>
      </c>
      <c r="F71">
        <f>1/POWER(1.15,4.5)</f>
        <v>0.5331626506425087</v>
      </c>
      <c r="G71">
        <f>1/POWER(1.15,5.5)</f>
        <v>0.4636196962108771</v>
      </c>
      <c r="H71">
        <f>1/POWER(1.15,6.5)</f>
        <v>0.40314756192250184</v>
      </c>
      <c r="I71">
        <f>1/POWER(1.15,7.5)</f>
        <v>0.35056309732391466</v>
      </c>
      <c r="J71">
        <f>1/POWER(1.15,8.5)</f>
        <v>0.30483747593383886</v>
      </c>
      <c r="K71">
        <f>1/POWER(1.15,9.5)</f>
        <v>0.26507606602942513</v>
      </c>
      <c r="L71">
        <f>1/POWER(1.15,10.5)</f>
        <v>0.23050092698210878</v>
      </c>
      <c r="M71">
        <f>1/POWER(1.15,11.5)</f>
        <v>0.20043558868009465</v>
      </c>
      <c r="N71">
        <f>1/POWER(1.15,12.5)</f>
        <v>0.17429181624356058</v>
      </c>
    </row>
    <row r="72" spans="1:14" ht="12.75">
      <c r="A72" t="s">
        <v>44</v>
      </c>
      <c r="B72">
        <f aca="true" t="shared" si="34" ref="B72:N72">B59*B71</f>
        <v>-115.63059622179891</v>
      </c>
      <c r="C72">
        <f t="shared" si="34"/>
        <v>-119.7952437827748</v>
      </c>
      <c r="D72">
        <f t="shared" si="34"/>
        <v>-48.19322062925969</v>
      </c>
      <c r="E72">
        <f t="shared" si="34"/>
        <v>13.540003538186976</v>
      </c>
      <c r="F72">
        <f t="shared" si="34"/>
        <v>15.822732602430966</v>
      </c>
      <c r="G72">
        <f t="shared" si="34"/>
        <v>17.446469718021905</v>
      </c>
      <c r="H72">
        <f t="shared" si="34"/>
        <v>23.09834579861481</v>
      </c>
      <c r="I72">
        <f t="shared" si="34"/>
        <v>20.70827444552939</v>
      </c>
      <c r="J72">
        <f t="shared" si="34"/>
        <v>18.526569051104758</v>
      </c>
      <c r="K72">
        <f t="shared" si="34"/>
        <v>16.536849885847445</v>
      </c>
      <c r="L72">
        <f t="shared" si="34"/>
        <v>14.724600197758692</v>
      </c>
      <c r="M72">
        <f t="shared" si="34"/>
        <v>13.076787098870156</v>
      </c>
      <c r="N72">
        <f t="shared" si="34"/>
        <v>9.947569068453008</v>
      </c>
    </row>
    <row r="73" spans="1:14" ht="12.75">
      <c r="A73" t="s">
        <v>45</v>
      </c>
      <c r="B73">
        <f aca="true" t="shared" si="35" ref="B73:N73">B60*B71</f>
        <v>-115.63059622179891</v>
      </c>
      <c r="C73">
        <f t="shared" si="35"/>
        <v>-220.3435883234695</v>
      </c>
      <c r="D73">
        <f t="shared" si="35"/>
        <v>-239.7963409105375</v>
      </c>
      <c r="E73">
        <f t="shared" si="35"/>
        <v>-194.9785537753239</v>
      </c>
      <c r="F73">
        <f t="shared" si="35"/>
        <v>-153.72383589785073</v>
      </c>
      <c r="G73">
        <f t="shared" si="35"/>
        <v>-116.22643106271788</v>
      </c>
      <c r="H73">
        <f t="shared" si="35"/>
        <v>-77.9681159950529</v>
      </c>
      <c r="I73">
        <f t="shared" si="35"/>
        <v>-47.09008728929923</v>
      </c>
      <c r="J73">
        <f t="shared" si="35"/>
        <v>-22.421332939590222</v>
      </c>
      <c r="K73">
        <f t="shared" si="35"/>
        <v>-2.9599613659701425</v>
      </c>
      <c r="L73">
        <f t="shared" si="35"/>
        <v>12.150720749089004</v>
      </c>
      <c r="M73">
        <f t="shared" si="35"/>
        <v>23.642631228512773</v>
      </c>
      <c r="N73">
        <f t="shared" si="35"/>
        <v>30.506378832377163</v>
      </c>
    </row>
    <row r="74" spans="1:4" ht="12.75">
      <c r="A74" t="s">
        <v>46</v>
      </c>
      <c r="B74">
        <f>B10*B71</f>
        <v>93.25048082403138</v>
      </c>
      <c r="C74">
        <f>C10*C71</f>
        <v>81.08737462959252</v>
      </c>
      <c r="D74">
        <f>D10*D71</f>
        <v>35.255380273735874</v>
      </c>
    </row>
    <row r="75" spans="1:4" ht="12.75">
      <c r="A75" t="s">
        <v>47</v>
      </c>
      <c r="B75">
        <f>B74</f>
        <v>93.25048082403138</v>
      </c>
      <c r="C75">
        <f>B75+C74</f>
        <v>174.3378554536239</v>
      </c>
      <c r="D75">
        <f>C75+D74</f>
        <v>209.59323572735977</v>
      </c>
    </row>
    <row r="76" spans="1:14" ht="12.75">
      <c r="A76" t="s">
        <v>48</v>
      </c>
      <c r="N76">
        <f>N73</f>
        <v>30.506378832377163</v>
      </c>
    </row>
    <row r="77" spans="1:14" ht="12.75">
      <c r="A77" t="s">
        <v>49</v>
      </c>
      <c r="N77">
        <f>N76/D75</f>
        <v>0.1455503977812531</v>
      </c>
    </row>
    <row r="78" ht="12.75">
      <c r="A78" t="s">
        <v>50</v>
      </c>
    </row>
    <row r="80" spans="1:14" ht="12.75">
      <c r="A80" t="s">
        <v>43</v>
      </c>
      <c r="B80">
        <f>1/POWER(1.25,0.5)</f>
        <v>0.8944271909999159</v>
      </c>
      <c r="C80">
        <f>1/POWER(1.25,1.5)</f>
        <v>0.7155417527999327</v>
      </c>
      <c r="D80">
        <f>1/POWER(1.25,2.5)</f>
        <v>0.5724334022399462</v>
      </c>
      <c r="E80">
        <f>1/POWER(1.25,3.5)</f>
        <v>0.4579467217919569</v>
      </c>
      <c r="F80">
        <f>1/POWER(1.25,4.5)</f>
        <v>0.36635737743356556</v>
      </c>
      <c r="G80">
        <f>1/POWER(1.25,5.5)</f>
        <v>0.29308590194685247</v>
      </c>
      <c r="H80">
        <f>1/POWER(1.25,6.5)</f>
        <v>0.2344687215574819</v>
      </c>
      <c r="I80">
        <f>1/POWER(1.25,7.5)</f>
        <v>0.18757497724598554</v>
      </c>
      <c r="J80">
        <f>1/POWER(1.25,8.5)</f>
        <v>0.15005998179678842</v>
      </c>
      <c r="K80">
        <f>1/POWER(1.25,9.5)</f>
        <v>0.12004798543743075</v>
      </c>
      <c r="L80">
        <f>1/POWER(1.25,10.5)</f>
        <v>0.09603838834994462</v>
      </c>
      <c r="M80">
        <f>1/POWER(1.25,11.5)</f>
        <v>0.0768307106799557</v>
      </c>
      <c r="N80">
        <f>1/POWER(1.25,12.5)</f>
        <v>0.06146456854396452</v>
      </c>
    </row>
    <row r="81" spans="1:14" ht="12.75">
      <c r="A81" t="s">
        <v>44</v>
      </c>
      <c r="B81">
        <f aca="true" t="shared" si="36" ref="B81:N81">B59*B80</f>
        <v>-110.90897168398956</v>
      </c>
      <c r="C81">
        <f t="shared" si="36"/>
        <v>-105.71127639165087</v>
      </c>
      <c r="D81">
        <f t="shared" si="36"/>
        <v>-39.12510521161393</v>
      </c>
      <c r="E81">
        <f t="shared" si="36"/>
        <v>10.112910728807245</v>
      </c>
      <c r="F81">
        <f t="shared" si="36"/>
        <v>10.872432292610055</v>
      </c>
      <c r="G81">
        <f t="shared" si="36"/>
        <v>11.029113635347173</v>
      </c>
      <c r="H81">
        <f t="shared" si="36"/>
        <v>13.433889029781483</v>
      </c>
      <c r="I81">
        <f t="shared" si="36"/>
        <v>11.080328013917331</v>
      </c>
      <c r="J81">
        <f t="shared" si="36"/>
        <v>9.119930566440948</v>
      </c>
      <c r="K81">
        <f t="shared" si="36"/>
        <v>7.489229578564897</v>
      </c>
      <c r="L81">
        <f t="shared" si="36"/>
        <v>6.135015987158193</v>
      </c>
      <c r="M81">
        <f t="shared" si="36"/>
        <v>5.012577121821517</v>
      </c>
      <c r="N81">
        <f t="shared" si="36"/>
        <v>3.5080421676215163</v>
      </c>
    </row>
    <row r="82" spans="1:14" ht="12.75">
      <c r="A82" t="s">
        <v>45</v>
      </c>
      <c r="B82">
        <f aca="true" t="shared" si="37" ref="B82:N82">B60*B80</f>
        <v>-110.90897168398956</v>
      </c>
      <c r="C82">
        <f t="shared" si="37"/>
        <v>-194.4384537388425</v>
      </c>
      <c r="D82">
        <f t="shared" si="37"/>
        <v>-194.67586820268792</v>
      </c>
      <c r="E82">
        <f t="shared" si="37"/>
        <v>-145.62778383334307</v>
      </c>
      <c r="F82">
        <f t="shared" si="37"/>
        <v>-105.62979477406442</v>
      </c>
      <c r="G82">
        <f t="shared" si="37"/>
        <v>-73.47472218390438</v>
      </c>
      <c r="H82">
        <f t="shared" si="37"/>
        <v>-45.345888717342</v>
      </c>
      <c r="I82">
        <f t="shared" si="37"/>
        <v>-25.19638295995627</v>
      </c>
      <c r="J82">
        <f t="shared" si="37"/>
        <v>-11.037175801524066</v>
      </c>
      <c r="K82">
        <f t="shared" si="37"/>
        <v>-1.3405110626543575</v>
      </c>
      <c r="L82">
        <f t="shared" si="37"/>
        <v>5.062607137034707</v>
      </c>
      <c r="M82">
        <f t="shared" si="37"/>
        <v>9.062662831449282</v>
      </c>
      <c r="N82">
        <f t="shared" si="37"/>
        <v>10.75817243278094</v>
      </c>
    </row>
    <row r="83" spans="1:4" ht="12.75">
      <c r="A83" t="s">
        <v>46</v>
      </c>
      <c r="B83">
        <f>B10*B80</f>
        <v>89.44271909999159</v>
      </c>
      <c r="C83">
        <f>C10*C80</f>
        <v>71.55417527999327</v>
      </c>
      <c r="D83">
        <f>D10*D80</f>
        <v>28.62167011199731</v>
      </c>
    </row>
    <row r="84" spans="1:4" ht="12.75">
      <c r="A84" t="s">
        <v>47</v>
      </c>
      <c r="B84">
        <f>B83</f>
        <v>89.44271909999159</v>
      </c>
      <c r="C84">
        <f>B84+C83</f>
        <v>160.99689437998487</v>
      </c>
      <c r="D84">
        <f>C84+D83</f>
        <v>189.61856449198217</v>
      </c>
    </row>
    <row r="85" spans="1:14" ht="12.75">
      <c r="A85" t="s">
        <v>48</v>
      </c>
      <c r="N85">
        <f>N82</f>
        <v>10.75817243278094</v>
      </c>
    </row>
    <row r="86" spans="1:14" ht="12.75">
      <c r="A86" t="s">
        <v>49</v>
      </c>
      <c r="N86">
        <f>N85/D84</f>
        <v>0.05673586055038318</v>
      </c>
    </row>
    <row r="87" ht="12.75">
      <c r="A87" t="s">
        <v>50</v>
      </c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93"/>
  <sheetViews>
    <sheetView zoomScalePageLayoutView="0" workbookViewId="0" topLeftCell="A67">
      <selection activeCell="P97" sqref="P97"/>
    </sheetView>
  </sheetViews>
  <sheetFormatPr defaultColWidth="9.00390625" defaultRowHeight="12.75"/>
  <sheetData>
    <row r="3" ht="12.75">
      <c r="A3" t="s">
        <v>1</v>
      </c>
    </row>
    <row r="5" spans="1:14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</row>
    <row r="6" ht="12.75">
      <c r="A6" t="s">
        <v>16</v>
      </c>
    </row>
    <row r="7" spans="1:14" ht="12.75">
      <c r="A7" t="s">
        <v>17</v>
      </c>
      <c r="B7">
        <v>0</v>
      </c>
      <c r="C7">
        <v>0</v>
      </c>
      <c r="D7">
        <v>200</v>
      </c>
      <c r="E7">
        <v>300</v>
      </c>
      <c r="F7">
        <f aca="true" t="shared" si="0" ref="F7:N7">E7</f>
        <v>300</v>
      </c>
      <c r="G7">
        <f t="shared" si="0"/>
        <v>300</v>
      </c>
      <c r="H7">
        <f t="shared" si="0"/>
        <v>300</v>
      </c>
      <c r="I7">
        <f t="shared" si="0"/>
        <v>300</v>
      </c>
      <c r="J7">
        <f t="shared" si="0"/>
        <v>300</v>
      </c>
      <c r="K7">
        <f t="shared" si="0"/>
        <v>300</v>
      </c>
      <c r="L7">
        <f t="shared" si="0"/>
        <v>300</v>
      </c>
      <c r="M7">
        <f t="shared" si="0"/>
        <v>300</v>
      </c>
      <c r="N7">
        <f t="shared" si="0"/>
        <v>300</v>
      </c>
    </row>
    <row r="8" spans="1:14" ht="12.75">
      <c r="A8" t="s">
        <v>18</v>
      </c>
      <c r="B8">
        <v>0</v>
      </c>
      <c r="C8">
        <v>0</v>
      </c>
      <c r="D8">
        <v>70</v>
      </c>
      <c r="E8">
        <v>100</v>
      </c>
      <c r="F8">
        <f aca="true" t="shared" si="1" ref="F8:N8">E8</f>
        <v>100</v>
      </c>
      <c r="G8">
        <f t="shared" si="1"/>
        <v>100</v>
      </c>
      <c r="H8">
        <f t="shared" si="1"/>
        <v>100</v>
      </c>
      <c r="I8">
        <f t="shared" si="1"/>
        <v>100</v>
      </c>
      <c r="J8">
        <f t="shared" si="1"/>
        <v>100</v>
      </c>
      <c r="K8">
        <f t="shared" si="1"/>
        <v>100</v>
      </c>
      <c r="L8">
        <f t="shared" si="1"/>
        <v>100</v>
      </c>
      <c r="M8">
        <f t="shared" si="1"/>
        <v>100</v>
      </c>
      <c r="N8">
        <f t="shared" si="1"/>
        <v>100</v>
      </c>
    </row>
    <row r="9" spans="1:14" ht="12.75">
      <c r="A9" t="s">
        <v>19</v>
      </c>
      <c r="B9">
        <v>0</v>
      </c>
      <c r="C9">
        <v>0</v>
      </c>
      <c r="D9">
        <v>100</v>
      </c>
      <c r="E9">
        <v>150</v>
      </c>
      <c r="F9">
        <f aca="true" t="shared" si="2" ref="F9:N9">E9</f>
        <v>150</v>
      </c>
      <c r="G9">
        <f t="shared" si="2"/>
        <v>150</v>
      </c>
      <c r="H9">
        <f t="shared" si="2"/>
        <v>150</v>
      </c>
      <c r="I9">
        <f t="shared" si="2"/>
        <v>150</v>
      </c>
      <c r="J9">
        <f t="shared" si="2"/>
        <v>150</v>
      </c>
      <c r="K9">
        <f t="shared" si="2"/>
        <v>150</v>
      </c>
      <c r="L9">
        <f t="shared" si="2"/>
        <v>150</v>
      </c>
      <c r="M9">
        <f t="shared" si="2"/>
        <v>150</v>
      </c>
      <c r="N9">
        <f t="shared" si="2"/>
        <v>150</v>
      </c>
    </row>
    <row r="10" spans="1:4" ht="12.75">
      <c r="A10" t="s">
        <v>20</v>
      </c>
      <c r="B10">
        <v>100</v>
      </c>
      <c r="C10">
        <v>100</v>
      </c>
      <c r="D10">
        <v>50</v>
      </c>
    </row>
    <row r="11" spans="1:8" ht="12.75">
      <c r="A11" t="s">
        <v>21</v>
      </c>
      <c r="B11">
        <f>B10</f>
        <v>100</v>
      </c>
      <c r="C11">
        <f>B11+C10</f>
        <v>200</v>
      </c>
      <c r="D11">
        <f>C11+D10</f>
        <v>250</v>
      </c>
      <c r="E11">
        <f>D11-E49+E50</f>
        <v>206.05100000000002</v>
      </c>
      <c r="F11">
        <f>E11-F49+F50</f>
        <v>159.0255699999999</v>
      </c>
      <c r="G11">
        <f>F11-G49+G50</f>
        <v>108.94348704999983</v>
      </c>
      <c r="H11">
        <v>0</v>
      </c>
    </row>
    <row r="12" spans="1:14" ht="12.75">
      <c r="A12" t="s">
        <v>22</v>
      </c>
      <c r="F12">
        <v>1.07</v>
      </c>
      <c r="G12">
        <f aca="true" t="shared" si="3" ref="G12:N12">F12-0.005</f>
        <v>1.0650000000000002</v>
      </c>
      <c r="H12">
        <f t="shared" si="3"/>
        <v>1.0600000000000003</v>
      </c>
      <c r="I12">
        <f t="shared" si="3"/>
        <v>1.0550000000000004</v>
      </c>
      <c r="J12">
        <f t="shared" si="3"/>
        <v>1.0500000000000005</v>
      </c>
      <c r="K12">
        <f t="shared" si="3"/>
        <v>1.0450000000000006</v>
      </c>
      <c r="L12">
        <f t="shared" si="3"/>
        <v>1.0400000000000007</v>
      </c>
      <c r="M12">
        <f t="shared" si="3"/>
        <v>1.0350000000000008</v>
      </c>
      <c r="N12">
        <f t="shared" si="3"/>
        <v>1.030000000000001</v>
      </c>
    </row>
    <row r="13" ht="12.75">
      <c r="A13" t="s">
        <v>23</v>
      </c>
    </row>
    <row r="14" spans="1:14" ht="12.75">
      <c r="A14" t="s">
        <v>17</v>
      </c>
      <c r="D14">
        <f>E14*D7/E7</f>
        <v>21.426666666666666</v>
      </c>
      <c r="E14">
        <v>32.14</v>
      </c>
      <c r="F14">
        <f>E14*$F$12</f>
        <v>34.3898</v>
      </c>
      <c r="G14">
        <f>F14*$G$12</f>
        <v>36.62513700000001</v>
      </c>
      <c r="H14">
        <f>G14*$H$12</f>
        <v>38.82264522000002</v>
      </c>
      <c r="I14">
        <f>H14*$I$12</f>
        <v>40.957890707100034</v>
      </c>
      <c r="J14">
        <f>I14*$J$12</f>
        <v>43.005785242455055</v>
      </c>
      <c r="K14">
        <f>J14*$K$12</f>
        <v>44.94104557836556</v>
      </c>
      <c r="L14">
        <f>K14*$L$12</f>
        <v>46.738687401500215</v>
      </c>
      <c r="M14">
        <f>L14*$M$12</f>
        <v>48.37454146055276</v>
      </c>
      <c r="N14">
        <f>M14*$N$12</f>
        <v>49.82577770436939</v>
      </c>
    </row>
    <row r="15" spans="1:14" ht="12.75">
      <c r="A15" t="s">
        <v>18</v>
      </c>
      <c r="D15">
        <f>E15*D8/E8</f>
        <v>13.503</v>
      </c>
      <c r="E15">
        <v>19.29</v>
      </c>
      <c r="F15">
        <f>E15*$F$12</f>
        <v>20.6403</v>
      </c>
      <c r="G15">
        <f>F15*$G$12</f>
        <v>21.981919500000004</v>
      </c>
      <c r="H15">
        <f>G15*$H$12</f>
        <v>23.30083467000001</v>
      </c>
      <c r="I15">
        <f>H15*$I$12</f>
        <v>24.58238057685002</v>
      </c>
      <c r="J15">
        <f>I15*$J$12</f>
        <v>25.811499605692532</v>
      </c>
      <c r="K15">
        <f>J15*$K$12</f>
        <v>26.973017087948712</v>
      </c>
      <c r="L15">
        <f>K15*$L$12</f>
        <v>28.05193777146668</v>
      </c>
      <c r="M15">
        <f>L15*$M$12</f>
        <v>29.033755593468037</v>
      </c>
      <c r="N15">
        <f>M15*$N$12</f>
        <v>29.904768261272103</v>
      </c>
    </row>
    <row r="16" spans="1:14" ht="12.75">
      <c r="A16" t="s">
        <v>19</v>
      </c>
      <c r="D16">
        <f>E16*D9/E9</f>
        <v>18.58</v>
      </c>
      <c r="E16">
        <v>27.87</v>
      </c>
      <c r="F16">
        <f>E16*$F$12</f>
        <v>29.8209</v>
      </c>
      <c r="G16">
        <f>F16*$G$12</f>
        <v>31.75925850000001</v>
      </c>
      <c r="H16">
        <f>G16*$H$12</f>
        <v>33.664814010000015</v>
      </c>
      <c r="I16">
        <f>H16*$I$12</f>
        <v>35.51637878055003</v>
      </c>
      <c r="J16">
        <f>I16*$J$12</f>
        <v>37.292197719577544</v>
      </c>
      <c r="K16">
        <f>J16*$K$12</f>
        <v>38.97034661695856</v>
      </c>
      <c r="L16">
        <f>K16*$L$12</f>
        <v>40.52916048163693</v>
      </c>
      <c r="M16">
        <f>L16*$M$12</f>
        <v>41.94768109849426</v>
      </c>
      <c r="N16">
        <f>M16*$N$12</f>
        <v>43.206111531449125</v>
      </c>
    </row>
    <row r="17" ht="12.75">
      <c r="A17" t="s">
        <v>24</v>
      </c>
    </row>
    <row r="18" spans="1:14" ht="12.75">
      <c r="A18" t="s">
        <v>17</v>
      </c>
      <c r="D18">
        <f>E18*D7/E7</f>
        <v>55</v>
      </c>
      <c r="E18">
        <f>1.1*75</f>
        <v>82.5</v>
      </c>
      <c r="F18">
        <f>E18*$F$12</f>
        <v>88.275</v>
      </c>
      <c r="G18">
        <f>F18*$G$12</f>
        <v>94.01287500000002</v>
      </c>
      <c r="H18">
        <f>G18*$H$12</f>
        <v>99.65364750000005</v>
      </c>
      <c r="I18">
        <f>H18*$I$12</f>
        <v>105.13459811250009</v>
      </c>
      <c r="J18">
        <f>I18*$J$12</f>
        <v>110.39132801812514</v>
      </c>
      <c r="K18">
        <f>J18*$K$12</f>
        <v>115.35893777894083</v>
      </c>
      <c r="L18">
        <f>K18*$L$12</f>
        <v>119.97329529009855</v>
      </c>
      <c r="M18">
        <f>L18*$M$12</f>
        <v>124.1723606252521</v>
      </c>
      <c r="N18">
        <f>M18*$N$12</f>
        <v>127.89753144400977</v>
      </c>
    </row>
    <row r="19" spans="1:14" ht="12.75">
      <c r="A19" t="s">
        <v>18</v>
      </c>
      <c r="D19">
        <f>E19*D8/E8</f>
        <v>34.650000000000006</v>
      </c>
      <c r="E19">
        <f>1.1*45</f>
        <v>49.50000000000001</v>
      </c>
      <c r="F19">
        <f>E19*$F$12</f>
        <v>52.96500000000001</v>
      </c>
      <c r="G19">
        <f>F19*$G$12</f>
        <v>56.40772500000002</v>
      </c>
      <c r="H19">
        <f>G19*$H$12</f>
        <v>59.79218850000004</v>
      </c>
      <c r="I19">
        <f>H19*$I$12</f>
        <v>63.08075886750006</v>
      </c>
      <c r="J19">
        <f>I19*$J$12</f>
        <v>66.2347968108751</v>
      </c>
      <c r="K19">
        <f>J19*$K$12</f>
        <v>69.21536266736452</v>
      </c>
      <c r="L19">
        <f>K19*$L$12</f>
        <v>71.98397717405915</v>
      </c>
      <c r="M19">
        <f>L19*$M$12</f>
        <v>74.50341637515128</v>
      </c>
      <c r="N19">
        <f>M19*$N$12</f>
        <v>76.73851886640588</v>
      </c>
    </row>
    <row r="20" spans="1:14" ht="12.75">
      <c r="A20" t="s">
        <v>19</v>
      </c>
      <c r="D20">
        <f>E20*D9/E9</f>
        <v>47.666666666666664</v>
      </c>
      <c r="E20">
        <f>1.1*65</f>
        <v>71.5</v>
      </c>
      <c r="F20">
        <f>E20*$F$12</f>
        <v>76.50500000000001</v>
      </c>
      <c r="G20">
        <f>F20*$G$12</f>
        <v>81.47782500000002</v>
      </c>
      <c r="H20">
        <f>G20*$H$12</f>
        <v>86.36649450000004</v>
      </c>
      <c r="I20">
        <f>H20*$I$12</f>
        <v>91.11665169750007</v>
      </c>
      <c r="J20">
        <f>I20*$J$12</f>
        <v>95.67248428237512</v>
      </c>
      <c r="K20">
        <f>J20*$K$12</f>
        <v>99.97774607508207</v>
      </c>
      <c r="L20">
        <f>K20*$L$12</f>
        <v>103.97685591808542</v>
      </c>
      <c r="M20">
        <f>L20*$M$12</f>
        <v>107.61604587521849</v>
      </c>
      <c r="N20">
        <f>M20*$N$12</f>
        <v>110.84452725147514</v>
      </c>
    </row>
    <row r="21" ht="12.75">
      <c r="A21" t="s">
        <v>25</v>
      </c>
    </row>
    <row r="22" spans="1:14" ht="12.75">
      <c r="A22" t="s">
        <v>17</v>
      </c>
      <c r="D22">
        <f>D18*1000/D7</f>
        <v>275</v>
      </c>
      <c r="E22">
        <f aca="true" t="shared" si="4" ref="E22:N22">E18*1000/E7</f>
        <v>275</v>
      </c>
      <c r="F22">
        <f t="shared" si="4"/>
        <v>294.25</v>
      </c>
      <c r="G22">
        <f t="shared" si="4"/>
        <v>313.3762500000001</v>
      </c>
      <c r="H22">
        <f t="shared" si="4"/>
        <v>332.1788250000002</v>
      </c>
      <c r="I22">
        <f t="shared" si="4"/>
        <v>350.44866037500026</v>
      </c>
      <c r="J22">
        <f t="shared" si="4"/>
        <v>367.97109339375044</v>
      </c>
      <c r="K22">
        <f t="shared" si="4"/>
        <v>384.52979259646946</v>
      </c>
      <c r="L22">
        <f t="shared" si="4"/>
        <v>399.9109843003285</v>
      </c>
      <c r="M22">
        <f t="shared" si="4"/>
        <v>413.90786875084035</v>
      </c>
      <c r="N22">
        <f t="shared" si="4"/>
        <v>426.3251048133659</v>
      </c>
    </row>
    <row r="23" spans="1:14" ht="12.75">
      <c r="A23" t="s">
        <v>18</v>
      </c>
      <c r="D23">
        <f aca="true" t="shared" si="5" ref="D23:N23">D19*1000/D8</f>
        <v>495.0000000000001</v>
      </c>
      <c r="E23">
        <f t="shared" si="5"/>
        <v>495.00000000000006</v>
      </c>
      <c r="F23">
        <f t="shared" si="5"/>
        <v>529.6500000000001</v>
      </c>
      <c r="G23">
        <f t="shared" si="5"/>
        <v>564.0772500000002</v>
      </c>
      <c r="H23">
        <f t="shared" si="5"/>
        <v>597.9218850000004</v>
      </c>
      <c r="I23">
        <f t="shared" si="5"/>
        <v>630.8075886750006</v>
      </c>
      <c r="J23">
        <f t="shared" si="5"/>
        <v>662.3479681087509</v>
      </c>
      <c r="K23">
        <f t="shared" si="5"/>
        <v>692.1536266736452</v>
      </c>
      <c r="L23">
        <f t="shared" si="5"/>
        <v>719.8397717405916</v>
      </c>
      <c r="M23">
        <f t="shared" si="5"/>
        <v>745.0341637515127</v>
      </c>
      <c r="N23">
        <f t="shared" si="5"/>
        <v>767.3851886640588</v>
      </c>
    </row>
    <row r="24" spans="1:14" ht="12.75">
      <c r="A24" t="s">
        <v>19</v>
      </c>
      <c r="D24">
        <f aca="true" t="shared" si="6" ref="D24:N24">D20*1000/D9</f>
        <v>476.66666666666663</v>
      </c>
      <c r="E24">
        <f t="shared" si="6"/>
        <v>476.6666666666667</v>
      </c>
      <c r="F24">
        <f t="shared" si="6"/>
        <v>510.0333333333334</v>
      </c>
      <c r="G24">
        <f t="shared" si="6"/>
        <v>543.1855000000002</v>
      </c>
      <c r="H24">
        <f t="shared" si="6"/>
        <v>575.7766300000003</v>
      </c>
      <c r="I24">
        <f t="shared" si="6"/>
        <v>607.4443446500005</v>
      </c>
      <c r="J24">
        <f t="shared" si="6"/>
        <v>637.8165618825009</v>
      </c>
      <c r="K24">
        <f t="shared" si="6"/>
        <v>666.5183071672137</v>
      </c>
      <c r="L24">
        <f t="shared" si="6"/>
        <v>693.1790394539028</v>
      </c>
      <c r="M24">
        <f t="shared" si="6"/>
        <v>717.4403058347899</v>
      </c>
      <c r="N24">
        <f t="shared" si="6"/>
        <v>738.9635150098343</v>
      </c>
    </row>
    <row r="25" ht="12.75">
      <c r="A25" t="s">
        <v>26</v>
      </c>
    </row>
    <row r="26" spans="1:14" ht="12.75">
      <c r="A26" t="s">
        <v>17</v>
      </c>
      <c r="D26">
        <f aca="true" t="shared" si="7" ref="D26:N26">D14+D18</f>
        <v>76.42666666666666</v>
      </c>
      <c r="E26">
        <f t="shared" si="7"/>
        <v>114.64</v>
      </c>
      <c r="F26">
        <f t="shared" si="7"/>
        <v>122.66480000000001</v>
      </c>
      <c r="G26">
        <f t="shared" si="7"/>
        <v>130.63801200000003</v>
      </c>
      <c r="H26">
        <f t="shared" si="7"/>
        <v>138.47629272000006</v>
      </c>
      <c r="I26">
        <f t="shared" si="7"/>
        <v>146.09248881960013</v>
      </c>
      <c r="J26">
        <f t="shared" si="7"/>
        <v>153.3971132605802</v>
      </c>
      <c r="K26">
        <f t="shared" si="7"/>
        <v>160.2999833573064</v>
      </c>
      <c r="L26">
        <f t="shared" si="7"/>
        <v>166.71198269159876</v>
      </c>
      <c r="M26">
        <f t="shared" si="7"/>
        <v>172.54690208580485</v>
      </c>
      <c r="N26">
        <f t="shared" si="7"/>
        <v>177.72330914837917</v>
      </c>
    </row>
    <row r="27" spans="1:14" ht="12.75">
      <c r="A27" t="s">
        <v>18</v>
      </c>
      <c r="D27">
        <f aca="true" t="shared" si="8" ref="D27:N27">D15+D19</f>
        <v>48.153000000000006</v>
      </c>
      <c r="E27">
        <f t="shared" si="8"/>
        <v>68.79</v>
      </c>
      <c r="F27">
        <f t="shared" si="8"/>
        <v>73.60530000000001</v>
      </c>
      <c r="G27">
        <f t="shared" si="8"/>
        <v>78.38964450000003</v>
      </c>
      <c r="H27">
        <f t="shared" si="8"/>
        <v>83.09302317000005</v>
      </c>
      <c r="I27">
        <f t="shared" si="8"/>
        <v>87.66313944435008</v>
      </c>
      <c r="J27">
        <f t="shared" si="8"/>
        <v>92.04629641656763</v>
      </c>
      <c r="K27">
        <f t="shared" si="8"/>
        <v>96.18837975531324</v>
      </c>
      <c r="L27">
        <f t="shared" si="8"/>
        <v>100.03591494552583</v>
      </c>
      <c r="M27">
        <f t="shared" si="8"/>
        <v>103.5371719686193</v>
      </c>
      <c r="N27">
        <f t="shared" si="8"/>
        <v>106.64328712767798</v>
      </c>
    </row>
    <row r="28" spans="1:15" ht="12.75">
      <c r="A28" t="s">
        <v>19</v>
      </c>
      <c r="D28">
        <f aca="true" t="shared" si="9" ref="D28:N28">D16+D20</f>
        <v>66.24666666666667</v>
      </c>
      <c r="E28">
        <f t="shared" si="9"/>
        <v>99.37</v>
      </c>
      <c r="F28">
        <f t="shared" si="9"/>
        <v>106.32590000000002</v>
      </c>
      <c r="G28">
        <f t="shared" si="9"/>
        <v>113.23708350000004</v>
      </c>
      <c r="H28">
        <f t="shared" si="9"/>
        <v>120.03130851000006</v>
      </c>
      <c r="I28">
        <f t="shared" si="9"/>
        <v>126.6330304780501</v>
      </c>
      <c r="J28">
        <f t="shared" si="9"/>
        <v>132.96468200195267</v>
      </c>
      <c r="K28">
        <f t="shared" si="9"/>
        <v>138.94809269204063</v>
      </c>
      <c r="L28">
        <f t="shared" si="9"/>
        <v>144.50601639972234</v>
      </c>
      <c r="M28">
        <f t="shared" si="9"/>
        <v>149.56372697371273</v>
      </c>
      <c r="N28">
        <f t="shared" si="9"/>
        <v>154.05063878292427</v>
      </c>
      <c r="O28">
        <f>SUM(D26:N28)</f>
        <v>3849.6398540830583</v>
      </c>
    </row>
    <row r="29" ht="12.75">
      <c r="A29" t="s">
        <v>27</v>
      </c>
    </row>
    <row r="30" spans="1:14" ht="12.75">
      <c r="A30" t="s">
        <v>17</v>
      </c>
      <c r="D30">
        <f aca="true" t="shared" si="10" ref="D30:N30">D26/(D26+D27+D28)*100</f>
        <v>40.05037739375592</v>
      </c>
      <c r="E30">
        <f t="shared" si="10"/>
        <v>40.53748231966053</v>
      </c>
      <c r="F30">
        <f t="shared" si="10"/>
        <v>40.53748231966054</v>
      </c>
      <c r="G30">
        <f t="shared" si="10"/>
        <v>40.53748231966054</v>
      </c>
      <c r="H30">
        <f t="shared" si="10"/>
        <v>40.53748231966054</v>
      </c>
      <c r="I30">
        <f t="shared" si="10"/>
        <v>40.53748231966054</v>
      </c>
      <c r="J30">
        <f t="shared" si="10"/>
        <v>40.53748231966054</v>
      </c>
      <c r="K30">
        <f t="shared" si="10"/>
        <v>40.53748231966053</v>
      </c>
      <c r="L30">
        <f t="shared" si="10"/>
        <v>40.53748231966053</v>
      </c>
      <c r="M30">
        <f t="shared" si="10"/>
        <v>40.53748231966053</v>
      </c>
      <c r="N30">
        <f t="shared" si="10"/>
        <v>40.53748231966054</v>
      </c>
    </row>
    <row r="31" spans="1:14" ht="12.75">
      <c r="A31" t="s">
        <v>18</v>
      </c>
      <c r="D31">
        <f aca="true" t="shared" si="11" ref="D31:N31">D27/(D27+D28+D26)*100</f>
        <v>25.233938712162367</v>
      </c>
      <c r="E31">
        <f t="shared" si="11"/>
        <v>24.324611032531827</v>
      </c>
      <c r="F31">
        <f t="shared" si="11"/>
        <v>24.324611032531823</v>
      </c>
      <c r="G31">
        <f t="shared" si="11"/>
        <v>24.324611032531827</v>
      </c>
      <c r="H31">
        <f t="shared" si="11"/>
        <v>24.324611032531827</v>
      </c>
      <c r="I31">
        <f t="shared" si="11"/>
        <v>24.324611032531827</v>
      </c>
      <c r="J31">
        <f t="shared" si="11"/>
        <v>24.324611032531827</v>
      </c>
      <c r="K31">
        <f t="shared" si="11"/>
        <v>24.324611032531827</v>
      </c>
      <c r="L31">
        <f t="shared" si="11"/>
        <v>24.324611032531827</v>
      </c>
      <c r="M31">
        <f t="shared" si="11"/>
        <v>24.324611032531827</v>
      </c>
      <c r="N31">
        <f t="shared" si="11"/>
        <v>24.324611032531827</v>
      </c>
    </row>
    <row r="32" spans="1:14" ht="12.75">
      <c r="A32" t="s">
        <v>19</v>
      </c>
      <c r="D32">
        <f aca="true" t="shared" si="12" ref="D32:N32">D28/(D26+D27+D28)*100</f>
        <v>34.71568389408171</v>
      </c>
      <c r="E32">
        <f t="shared" si="12"/>
        <v>35.13790664780764</v>
      </c>
      <c r="F32">
        <f t="shared" si="12"/>
        <v>35.13790664780764</v>
      </c>
      <c r="G32">
        <f t="shared" si="12"/>
        <v>35.13790664780764</v>
      </c>
      <c r="H32">
        <f t="shared" si="12"/>
        <v>35.13790664780764</v>
      </c>
      <c r="I32">
        <f t="shared" si="12"/>
        <v>35.13790664780764</v>
      </c>
      <c r="J32">
        <f t="shared" si="12"/>
        <v>35.13790664780764</v>
      </c>
      <c r="K32">
        <f t="shared" si="12"/>
        <v>35.13790664780764</v>
      </c>
      <c r="L32">
        <f t="shared" si="12"/>
        <v>35.13790664780764</v>
      </c>
      <c r="M32">
        <f t="shared" si="12"/>
        <v>35.13790664780764</v>
      </c>
      <c r="N32">
        <f t="shared" si="12"/>
        <v>35.13790664780764</v>
      </c>
    </row>
    <row r="33" ht="12.75">
      <c r="A33" t="s">
        <v>28</v>
      </c>
    </row>
    <row r="34" spans="1:14" ht="12.75">
      <c r="A34" t="s">
        <v>17</v>
      </c>
      <c r="D34">
        <f aca="true" t="shared" si="13" ref="D34:N34">D26/D7*1000</f>
        <v>382.1333333333333</v>
      </c>
      <c r="E34">
        <f t="shared" si="13"/>
        <v>382.1333333333333</v>
      </c>
      <c r="F34">
        <f t="shared" si="13"/>
        <v>408.88266666666675</v>
      </c>
      <c r="G34">
        <f t="shared" si="13"/>
        <v>435.4600400000001</v>
      </c>
      <c r="H34">
        <f t="shared" si="13"/>
        <v>461.5876424000002</v>
      </c>
      <c r="I34">
        <f t="shared" si="13"/>
        <v>486.97496273200045</v>
      </c>
      <c r="J34">
        <f t="shared" si="13"/>
        <v>511.32371086860064</v>
      </c>
      <c r="K34">
        <f t="shared" si="13"/>
        <v>534.3332778576879</v>
      </c>
      <c r="L34">
        <f t="shared" si="13"/>
        <v>555.7066089719958</v>
      </c>
      <c r="M34">
        <f t="shared" si="13"/>
        <v>575.1563402860162</v>
      </c>
      <c r="N34">
        <f t="shared" si="13"/>
        <v>592.4110304945972</v>
      </c>
    </row>
    <row r="35" spans="1:14" ht="12.75">
      <c r="A35" t="s">
        <v>18</v>
      </c>
      <c r="D35">
        <f aca="true" t="shared" si="14" ref="D35:N35">D27/D8*1000</f>
        <v>687.9000000000001</v>
      </c>
      <c r="E35">
        <f t="shared" si="14"/>
        <v>687.9000000000001</v>
      </c>
      <c r="F35">
        <f t="shared" si="14"/>
        <v>736.0530000000002</v>
      </c>
      <c r="G35">
        <f t="shared" si="14"/>
        <v>783.8964450000003</v>
      </c>
      <c r="H35">
        <f t="shared" si="14"/>
        <v>830.9302317000005</v>
      </c>
      <c r="I35">
        <f t="shared" si="14"/>
        <v>876.6313944435008</v>
      </c>
      <c r="J35">
        <f t="shared" si="14"/>
        <v>920.4629641656763</v>
      </c>
      <c r="K35">
        <f t="shared" si="14"/>
        <v>961.8837975531324</v>
      </c>
      <c r="L35">
        <f t="shared" si="14"/>
        <v>1000.3591494552584</v>
      </c>
      <c r="M35">
        <f t="shared" si="14"/>
        <v>1035.371719686193</v>
      </c>
      <c r="N35">
        <f t="shared" si="14"/>
        <v>1066.43287127678</v>
      </c>
    </row>
    <row r="36" spans="1:14" ht="12.75">
      <c r="A36" t="s">
        <v>19</v>
      </c>
      <c r="D36">
        <f aca="true" t="shared" si="15" ref="D36:N36">D28/D9*1000</f>
        <v>662.4666666666667</v>
      </c>
      <c r="E36">
        <f t="shared" si="15"/>
        <v>662.4666666666667</v>
      </c>
      <c r="F36">
        <f t="shared" si="15"/>
        <v>708.8393333333335</v>
      </c>
      <c r="G36">
        <f t="shared" si="15"/>
        <v>754.9138900000003</v>
      </c>
      <c r="H36">
        <f t="shared" si="15"/>
        <v>800.2087234000004</v>
      </c>
      <c r="I36">
        <f t="shared" si="15"/>
        <v>844.2202031870006</v>
      </c>
      <c r="J36">
        <f t="shared" si="15"/>
        <v>886.4312133463511</v>
      </c>
      <c r="K36">
        <f t="shared" si="15"/>
        <v>926.3206179469375</v>
      </c>
      <c r="L36">
        <f t="shared" si="15"/>
        <v>963.3734426648156</v>
      </c>
      <c r="M36">
        <f t="shared" si="15"/>
        <v>997.0915131580848</v>
      </c>
      <c r="N36">
        <f t="shared" si="15"/>
        <v>1027.0042585528286</v>
      </c>
    </row>
    <row r="37" ht="12.75">
      <c r="A37" t="s">
        <v>29</v>
      </c>
    </row>
    <row r="38" spans="1:14" ht="12.75">
      <c r="A38" t="s">
        <v>17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</row>
    <row r="39" spans="1:14" ht="12.75">
      <c r="A39" t="s">
        <v>18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</row>
    <row r="40" spans="1:14" ht="12.75">
      <c r="A40" t="s">
        <v>19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>
        <v>30</v>
      </c>
      <c r="K40">
        <v>30</v>
      </c>
      <c r="L40">
        <v>30</v>
      </c>
      <c r="M40">
        <v>30</v>
      </c>
      <c r="N40">
        <v>30</v>
      </c>
    </row>
    <row r="41" ht="12.75">
      <c r="A41" t="s">
        <v>30</v>
      </c>
    </row>
    <row r="42" spans="1:14" ht="12.75">
      <c r="A42" t="s">
        <v>17</v>
      </c>
      <c r="D42">
        <f aca="true" t="shared" si="16" ref="D42:N42">D34*(1+D38/100)</f>
        <v>477.66666666666663</v>
      </c>
      <c r="E42">
        <f t="shared" si="16"/>
        <v>477.66666666666663</v>
      </c>
      <c r="F42">
        <f t="shared" si="16"/>
        <v>511.10333333333347</v>
      </c>
      <c r="G42">
        <f t="shared" si="16"/>
        <v>544.3250500000001</v>
      </c>
      <c r="H42">
        <f t="shared" si="16"/>
        <v>576.9845530000002</v>
      </c>
      <c r="I42">
        <f t="shared" si="16"/>
        <v>608.7187034150006</v>
      </c>
      <c r="J42">
        <f t="shared" si="16"/>
        <v>639.1546385857508</v>
      </c>
      <c r="K42">
        <f t="shared" si="16"/>
        <v>667.9165973221099</v>
      </c>
      <c r="L42">
        <f t="shared" si="16"/>
        <v>694.6332612149947</v>
      </c>
      <c r="M42">
        <f t="shared" si="16"/>
        <v>718.9454253575202</v>
      </c>
      <c r="N42">
        <f t="shared" si="16"/>
        <v>740.5137881182465</v>
      </c>
    </row>
    <row r="43" spans="1:14" ht="12.75">
      <c r="A43" t="s">
        <v>18</v>
      </c>
      <c r="D43">
        <f aca="true" t="shared" si="17" ref="D43:N43">D35*(1+D39/100)</f>
        <v>825.4800000000001</v>
      </c>
      <c r="E43">
        <f t="shared" si="17"/>
        <v>825.4800000000001</v>
      </c>
      <c r="F43">
        <f t="shared" si="17"/>
        <v>883.2636000000002</v>
      </c>
      <c r="G43">
        <f t="shared" si="17"/>
        <v>940.6757340000004</v>
      </c>
      <c r="H43">
        <f t="shared" si="17"/>
        <v>997.1162780400006</v>
      </c>
      <c r="I43">
        <f t="shared" si="17"/>
        <v>1051.9576733322008</v>
      </c>
      <c r="J43">
        <f t="shared" si="17"/>
        <v>1104.5555569988117</v>
      </c>
      <c r="K43">
        <f t="shared" si="17"/>
        <v>1154.2605570637588</v>
      </c>
      <c r="L43">
        <f t="shared" si="17"/>
        <v>1200.43097934631</v>
      </c>
      <c r="M43">
        <f t="shared" si="17"/>
        <v>1242.4460636234317</v>
      </c>
      <c r="N43">
        <f t="shared" si="17"/>
        <v>1279.7194455321358</v>
      </c>
    </row>
    <row r="44" spans="1:14" ht="12.75">
      <c r="A44" t="s">
        <v>19</v>
      </c>
      <c r="D44">
        <f aca="true" t="shared" si="18" ref="D44:N44">D36*(1+D40/100)</f>
        <v>861.2066666666667</v>
      </c>
      <c r="E44">
        <f t="shared" si="18"/>
        <v>861.2066666666667</v>
      </c>
      <c r="F44">
        <f t="shared" si="18"/>
        <v>921.4911333333336</v>
      </c>
      <c r="G44">
        <f t="shared" si="18"/>
        <v>981.3880570000003</v>
      </c>
      <c r="H44">
        <f t="shared" si="18"/>
        <v>1040.2713404200006</v>
      </c>
      <c r="I44">
        <f t="shared" si="18"/>
        <v>1097.486264143101</v>
      </c>
      <c r="J44">
        <f t="shared" si="18"/>
        <v>1152.3605773502566</v>
      </c>
      <c r="K44">
        <f t="shared" si="18"/>
        <v>1204.2168033310188</v>
      </c>
      <c r="L44">
        <f t="shared" si="18"/>
        <v>1252.3854754642603</v>
      </c>
      <c r="M44">
        <f t="shared" si="18"/>
        <v>1296.2189671055103</v>
      </c>
      <c r="N44">
        <f t="shared" si="18"/>
        <v>1335.1055361186773</v>
      </c>
    </row>
    <row r="45" ht="12.75">
      <c r="A45" t="s">
        <v>31</v>
      </c>
    </row>
    <row r="46" spans="1:14" ht="12.75">
      <c r="A46" t="s">
        <v>17</v>
      </c>
      <c r="D46">
        <f aca="true" t="shared" si="19" ref="D46:N46">D42*D7/1000</f>
        <v>95.53333333333333</v>
      </c>
      <c r="E46">
        <f t="shared" si="19"/>
        <v>143.3</v>
      </c>
      <c r="F46">
        <f t="shared" si="19"/>
        <v>153.33100000000002</v>
      </c>
      <c r="G46">
        <f t="shared" si="19"/>
        <v>163.29751500000003</v>
      </c>
      <c r="H46">
        <f t="shared" si="19"/>
        <v>173.09536590000008</v>
      </c>
      <c r="I46">
        <f t="shared" si="19"/>
        <v>182.6156110245002</v>
      </c>
      <c r="J46">
        <f t="shared" si="19"/>
        <v>191.74639157572526</v>
      </c>
      <c r="K46">
        <f t="shared" si="19"/>
        <v>200.37497919663295</v>
      </c>
      <c r="L46">
        <f t="shared" si="19"/>
        <v>208.3899783644984</v>
      </c>
      <c r="M46">
        <f t="shared" si="19"/>
        <v>215.68362760725606</v>
      </c>
      <c r="N46">
        <f t="shared" si="19"/>
        <v>222.15413643547396</v>
      </c>
    </row>
    <row r="47" spans="1:14" ht="12.75">
      <c r="A47" t="s">
        <v>18</v>
      </c>
      <c r="D47">
        <f aca="true" t="shared" si="20" ref="D47:N47">D43*D8/1000</f>
        <v>57.78360000000001</v>
      </c>
      <c r="E47">
        <f t="shared" si="20"/>
        <v>82.54800000000002</v>
      </c>
      <c r="F47">
        <f t="shared" si="20"/>
        <v>88.32636000000001</v>
      </c>
      <c r="G47">
        <f t="shared" si="20"/>
        <v>94.06757340000004</v>
      </c>
      <c r="H47">
        <f t="shared" si="20"/>
        <v>99.71162780400006</v>
      </c>
      <c r="I47">
        <f t="shared" si="20"/>
        <v>105.19576733322008</v>
      </c>
      <c r="J47">
        <f t="shared" si="20"/>
        <v>110.45555569988116</v>
      </c>
      <c r="K47">
        <f t="shared" si="20"/>
        <v>115.42605570637589</v>
      </c>
      <c r="L47">
        <f t="shared" si="20"/>
        <v>120.043097934631</v>
      </c>
      <c r="M47">
        <f t="shared" si="20"/>
        <v>124.24460636234316</v>
      </c>
      <c r="N47">
        <f t="shared" si="20"/>
        <v>127.97194455321358</v>
      </c>
    </row>
    <row r="48" spans="1:15" ht="12.75">
      <c r="A48" t="s">
        <v>19</v>
      </c>
      <c r="D48">
        <f aca="true" t="shared" si="21" ref="D48:N48">D44*D9/1000</f>
        <v>86.12066666666666</v>
      </c>
      <c r="E48">
        <f t="shared" si="21"/>
        <v>129.181</v>
      </c>
      <c r="F48">
        <f t="shared" si="21"/>
        <v>138.22367000000006</v>
      </c>
      <c r="G48">
        <f t="shared" si="21"/>
        <v>147.20820855000005</v>
      </c>
      <c r="H48">
        <f t="shared" si="21"/>
        <v>156.04070106300009</v>
      </c>
      <c r="I48">
        <f t="shared" si="21"/>
        <v>164.62293962146512</v>
      </c>
      <c r="J48">
        <f t="shared" si="21"/>
        <v>172.85408660253847</v>
      </c>
      <c r="K48">
        <f t="shared" si="21"/>
        <v>180.63252049965283</v>
      </c>
      <c r="L48">
        <f t="shared" si="21"/>
        <v>187.85782131963904</v>
      </c>
      <c r="M48">
        <f t="shared" si="21"/>
        <v>194.43284506582654</v>
      </c>
      <c r="N48">
        <f t="shared" si="21"/>
        <v>200.2658304178016</v>
      </c>
      <c r="O48">
        <f>SUM(D46:N48)</f>
        <v>4832.736417037676</v>
      </c>
    </row>
    <row r="49" spans="1:15" ht="12.75">
      <c r="A49" t="s">
        <v>32</v>
      </c>
      <c r="D49">
        <f aca="true" t="shared" si="22" ref="D49:N49">(D46+D47+D48)-(D26+D27+D28)</f>
        <v>48.611266666666666</v>
      </c>
      <c r="E49">
        <f t="shared" si="22"/>
        <v>72.22899999999998</v>
      </c>
      <c r="F49">
        <f t="shared" si="22"/>
        <v>77.28503000000012</v>
      </c>
      <c r="G49">
        <f t="shared" si="22"/>
        <v>82.30855695000008</v>
      </c>
      <c r="H49">
        <f t="shared" si="22"/>
        <v>87.2470703670001</v>
      </c>
      <c r="I49">
        <f t="shared" si="22"/>
        <v>92.04565923718508</v>
      </c>
      <c r="J49">
        <f t="shared" si="22"/>
        <v>96.6479421990444</v>
      </c>
      <c r="K49">
        <f t="shared" si="22"/>
        <v>100.99709959800145</v>
      </c>
      <c r="L49">
        <f t="shared" si="22"/>
        <v>105.0369835819215</v>
      </c>
      <c r="M49">
        <f t="shared" si="22"/>
        <v>108.71327800728886</v>
      </c>
      <c r="N49">
        <f t="shared" si="22"/>
        <v>111.97467634750774</v>
      </c>
      <c r="O49">
        <f>SUM(D49:N49)</f>
        <v>983.0965629546159</v>
      </c>
    </row>
    <row r="50" spans="1:14" ht="12.75">
      <c r="A50" t="s">
        <v>33</v>
      </c>
      <c r="D50">
        <f aca="true" t="shared" si="23" ref="D50:N50">(D26+D27+D28)/10</f>
        <v>19.082633333333334</v>
      </c>
      <c r="E50">
        <f t="shared" si="23"/>
        <v>28.28</v>
      </c>
      <c r="F50">
        <f t="shared" si="23"/>
        <v>30.2596</v>
      </c>
      <c r="G50">
        <f t="shared" si="23"/>
        <v>32.22647400000001</v>
      </c>
      <c r="H50">
        <f t="shared" si="23"/>
        <v>34.16006244000001</v>
      </c>
      <c r="I50">
        <f t="shared" si="23"/>
        <v>36.03886587420003</v>
      </c>
      <c r="J50">
        <f t="shared" si="23"/>
        <v>37.84080916791005</v>
      </c>
      <c r="K50">
        <f t="shared" si="23"/>
        <v>39.54364558046602</v>
      </c>
      <c r="L50">
        <f t="shared" si="23"/>
        <v>41.125391403684695</v>
      </c>
      <c r="M50">
        <f t="shared" si="23"/>
        <v>42.564780102813685</v>
      </c>
      <c r="N50">
        <f t="shared" si="23"/>
        <v>43.841723505898145</v>
      </c>
    </row>
    <row r="51" spans="1:14" ht="12.75">
      <c r="A51" t="s">
        <v>34</v>
      </c>
      <c r="B51">
        <f aca="true" t="shared" si="24" ref="B51:G51">B11*0.2</f>
        <v>20</v>
      </c>
      <c r="C51">
        <f t="shared" si="24"/>
        <v>40</v>
      </c>
      <c r="D51">
        <f t="shared" si="24"/>
        <v>50</v>
      </c>
      <c r="E51">
        <f t="shared" si="24"/>
        <v>41.21020000000001</v>
      </c>
      <c r="F51">
        <f t="shared" si="24"/>
        <v>31.805113999999982</v>
      </c>
      <c r="G51">
        <f t="shared" si="24"/>
        <v>21.78869740999997</v>
      </c>
      <c r="H51">
        <v>0</v>
      </c>
      <c r="I51">
        <f aca="true" t="shared" si="25" ref="I51:N51">I11*0.2</f>
        <v>0</v>
      </c>
      <c r="J51">
        <f t="shared" si="25"/>
        <v>0</v>
      </c>
      <c r="K51">
        <f t="shared" si="25"/>
        <v>0</v>
      </c>
      <c r="L51">
        <f t="shared" si="25"/>
        <v>0</v>
      </c>
      <c r="M51">
        <f t="shared" si="25"/>
        <v>0</v>
      </c>
      <c r="N51">
        <f t="shared" si="25"/>
        <v>0</v>
      </c>
    </row>
    <row r="52" spans="1:4" ht="12.75">
      <c r="A52" t="s">
        <v>35</v>
      </c>
      <c r="B52">
        <f>-(B49-B50-B51)</f>
        <v>20</v>
      </c>
      <c r="C52">
        <f>-(C49-C50-C51)+B53</f>
        <v>44</v>
      </c>
      <c r="D52">
        <f>-(D49-D50-D51)+C53</f>
        <v>28.831366666666668</v>
      </c>
    </row>
    <row r="53" spans="1:4" ht="12.75">
      <c r="A53" t="s">
        <v>36</v>
      </c>
      <c r="B53">
        <f>B52*0.2</f>
        <v>4</v>
      </c>
      <c r="C53">
        <f>C52*0.19</f>
        <v>8.36</v>
      </c>
      <c r="D53">
        <f>D52*0.18</f>
        <v>5.189646</v>
      </c>
    </row>
    <row r="54" spans="1:15" ht="12.75">
      <c r="A54" t="s">
        <v>37</v>
      </c>
      <c r="B54">
        <f>-B51-B53</f>
        <v>-24</v>
      </c>
      <c r="C54">
        <f>-C51-C53</f>
        <v>-48.36</v>
      </c>
      <c r="D54">
        <f aca="true" t="shared" si="26" ref="D54:N54">D49-D50-D51-D53</f>
        <v>-25.661012666666668</v>
      </c>
      <c r="E54">
        <f t="shared" si="26"/>
        <v>2.7387999999999764</v>
      </c>
      <c r="F54">
        <f t="shared" si="26"/>
        <v>15.220316000000139</v>
      </c>
      <c r="G54">
        <f t="shared" si="26"/>
        <v>28.293385540000102</v>
      </c>
      <c r="H54">
        <f t="shared" si="26"/>
        <v>53.087007927000094</v>
      </c>
      <c r="I54">
        <f t="shared" si="26"/>
        <v>56.00679336298505</v>
      </c>
      <c r="J54">
        <f t="shared" si="26"/>
        <v>58.80713303113434</v>
      </c>
      <c r="K54">
        <f t="shared" si="26"/>
        <v>61.453454017535435</v>
      </c>
      <c r="L54">
        <f t="shared" si="26"/>
        <v>63.91159217823681</v>
      </c>
      <c r="M54">
        <f t="shared" si="26"/>
        <v>66.14849790447518</v>
      </c>
      <c r="N54">
        <f t="shared" si="26"/>
        <v>68.1329528416096</v>
      </c>
      <c r="O54">
        <f>SUM(B54:N54)</f>
        <v>375.7789201363101</v>
      </c>
    </row>
    <row r="55" spans="1:14" ht="12.75">
      <c r="A55" t="s">
        <v>38</v>
      </c>
      <c r="B55">
        <v>0</v>
      </c>
      <c r="C55">
        <v>0</v>
      </c>
      <c r="D55">
        <v>0</v>
      </c>
      <c r="E55">
        <f aca="true" t="shared" si="27" ref="E55:N55">E54*0.3</f>
        <v>0.8216399999999929</v>
      </c>
      <c r="F55">
        <f t="shared" si="27"/>
        <v>4.566094800000042</v>
      </c>
      <c r="G55">
        <f t="shared" si="27"/>
        <v>8.48801566200003</v>
      </c>
      <c r="H55">
        <f t="shared" si="27"/>
        <v>15.926102378100028</v>
      </c>
      <c r="I55">
        <f t="shared" si="27"/>
        <v>16.802038008895515</v>
      </c>
      <c r="J55">
        <f t="shared" si="27"/>
        <v>17.6421399093403</v>
      </c>
      <c r="K55">
        <f t="shared" si="27"/>
        <v>18.43603620526063</v>
      </c>
      <c r="L55">
        <f t="shared" si="27"/>
        <v>19.173477653471043</v>
      </c>
      <c r="M55">
        <f t="shared" si="27"/>
        <v>19.844549371342552</v>
      </c>
      <c r="N55">
        <f t="shared" si="27"/>
        <v>20.439885852482877</v>
      </c>
    </row>
    <row r="56" spans="1:15" ht="12.75">
      <c r="A56" t="s">
        <v>39</v>
      </c>
      <c r="B56">
        <f aca="true" t="shared" si="28" ref="B56:N56">B54-B55</f>
        <v>-24</v>
      </c>
      <c r="C56">
        <f t="shared" si="28"/>
        <v>-48.36</v>
      </c>
      <c r="D56">
        <f t="shared" si="28"/>
        <v>-25.661012666666668</v>
      </c>
      <c r="E56">
        <f t="shared" si="28"/>
        <v>1.9171599999999835</v>
      </c>
      <c r="F56">
        <f t="shared" si="28"/>
        <v>10.654221200000098</v>
      </c>
      <c r="G56">
        <f t="shared" si="28"/>
        <v>19.80536987800007</v>
      </c>
      <c r="H56">
        <f t="shared" si="28"/>
        <v>37.16090554890007</v>
      </c>
      <c r="I56">
        <f t="shared" si="28"/>
        <v>39.204755354089535</v>
      </c>
      <c r="J56">
        <f t="shared" si="28"/>
        <v>41.16499312179404</v>
      </c>
      <c r="K56">
        <f t="shared" si="28"/>
        <v>43.0174178122748</v>
      </c>
      <c r="L56">
        <f t="shared" si="28"/>
        <v>44.73811452476576</v>
      </c>
      <c r="M56">
        <f t="shared" si="28"/>
        <v>46.303948533132626</v>
      </c>
      <c r="N56">
        <f t="shared" si="28"/>
        <v>47.69306698912672</v>
      </c>
      <c r="O56">
        <f>SUM(B56:N56)</f>
        <v>233.63894029541703</v>
      </c>
    </row>
    <row r="57" spans="1:14" ht="12.75">
      <c r="A57" t="s">
        <v>40</v>
      </c>
      <c r="C57">
        <f>0.208*3</f>
        <v>0.624</v>
      </c>
      <c r="D57">
        <f>0.208*12+1.875*5</f>
        <v>11.871</v>
      </c>
      <c r="E57">
        <f aca="true" t="shared" si="29" ref="E57:M57">0.208*12+1.875*12</f>
        <v>24.996</v>
      </c>
      <c r="F57">
        <f t="shared" si="29"/>
        <v>24.996</v>
      </c>
      <c r="G57">
        <f t="shared" si="29"/>
        <v>24.996</v>
      </c>
      <c r="H57">
        <f t="shared" si="29"/>
        <v>24.996</v>
      </c>
      <c r="I57">
        <f t="shared" si="29"/>
        <v>24.996</v>
      </c>
      <c r="J57">
        <f t="shared" si="29"/>
        <v>24.996</v>
      </c>
      <c r="K57">
        <f t="shared" si="29"/>
        <v>24.996</v>
      </c>
      <c r="L57">
        <f t="shared" si="29"/>
        <v>24.996</v>
      </c>
      <c r="M57">
        <f t="shared" si="29"/>
        <v>24.996</v>
      </c>
      <c r="N57">
        <f>1.875*7+0.208*12</f>
        <v>15.621</v>
      </c>
    </row>
    <row r="59" spans="1:14" ht="12.75">
      <c r="A59" t="s">
        <v>41</v>
      </c>
      <c r="B59">
        <f>-B10+B56</f>
        <v>-124</v>
      </c>
      <c r="C59">
        <f aca="true" t="shared" si="30" ref="C59:N59">-C10+C56+C57</f>
        <v>-147.73600000000002</v>
      </c>
      <c r="D59">
        <f t="shared" si="30"/>
        <v>-63.79001266666666</v>
      </c>
      <c r="E59">
        <f t="shared" si="30"/>
        <v>26.913159999999984</v>
      </c>
      <c r="F59">
        <f t="shared" si="30"/>
        <v>35.6502212000001</v>
      </c>
      <c r="G59">
        <f t="shared" si="30"/>
        <v>44.801369878000074</v>
      </c>
      <c r="H59">
        <f t="shared" si="30"/>
        <v>62.15690554890007</v>
      </c>
      <c r="I59">
        <f t="shared" si="30"/>
        <v>64.20075535408954</v>
      </c>
      <c r="J59">
        <f t="shared" si="30"/>
        <v>66.16099312179404</v>
      </c>
      <c r="K59">
        <f t="shared" si="30"/>
        <v>68.0134178122748</v>
      </c>
      <c r="L59">
        <f t="shared" si="30"/>
        <v>69.73411452476576</v>
      </c>
      <c r="M59">
        <f t="shared" si="30"/>
        <v>71.29994853313262</v>
      </c>
      <c r="N59">
        <f t="shared" si="30"/>
        <v>63.31406698912672</v>
      </c>
    </row>
    <row r="60" spans="1:14" ht="12.75">
      <c r="A60" t="s">
        <v>42</v>
      </c>
      <c r="B60">
        <f>B59</f>
        <v>-124</v>
      </c>
      <c r="C60">
        <f aca="true" t="shared" si="31" ref="C60:N60">C59+B60</f>
        <v>-271.736</v>
      </c>
      <c r="D60">
        <f t="shared" si="31"/>
        <v>-335.52601266666665</v>
      </c>
      <c r="E60">
        <f t="shared" si="31"/>
        <v>-308.61285266666664</v>
      </c>
      <c r="F60">
        <f t="shared" si="31"/>
        <v>-272.96263146666655</v>
      </c>
      <c r="G60">
        <f t="shared" si="31"/>
        <v>-228.1612615886665</v>
      </c>
      <c r="H60">
        <f t="shared" si="31"/>
        <v>-166.00435603976644</v>
      </c>
      <c r="I60">
        <f t="shared" si="31"/>
        <v>-101.8036006856769</v>
      </c>
      <c r="J60">
        <f t="shared" si="31"/>
        <v>-35.64260756388286</v>
      </c>
      <c r="K60">
        <f t="shared" si="31"/>
        <v>32.37081024839193</v>
      </c>
      <c r="L60">
        <f t="shared" si="31"/>
        <v>102.10492477315769</v>
      </c>
      <c r="M60">
        <f t="shared" si="31"/>
        <v>173.4048733062903</v>
      </c>
      <c r="N60">
        <f t="shared" si="31"/>
        <v>236.71894029541704</v>
      </c>
    </row>
    <row r="62" spans="1:14" ht="12.75">
      <c r="A62" t="s">
        <v>43</v>
      </c>
      <c r="B62">
        <f>1/POWER(1.2,0.5)</f>
        <v>0.9128709291752769</v>
      </c>
      <c r="C62">
        <f>1/POWER(1.2,1.5)</f>
        <v>0.7607257743127307</v>
      </c>
      <c r="D62">
        <f>1/POWER(1.2,2.5)</f>
        <v>0.633938145260609</v>
      </c>
      <c r="E62">
        <f>1/POWER(1.2,3.5)</f>
        <v>0.5282817877171742</v>
      </c>
      <c r="F62">
        <f>1/POWER(1.2,4.5)</f>
        <v>0.44023482309764517</v>
      </c>
      <c r="G62">
        <f>1/POWER(1.2,5.5)</f>
        <v>0.36686235258137107</v>
      </c>
      <c r="H62">
        <f>1/POWER(1.2,6.5)</f>
        <v>0.3057186271511425</v>
      </c>
      <c r="I62">
        <f>1/POWER(1.2,7.5)</f>
        <v>0.25476552262595203</v>
      </c>
      <c r="J62">
        <f>1/POWER(1.2,8.5)</f>
        <v>0.21230460218829345</v>
      </c>
      <c r="K62">
        <f>1/POWER(1.2,9.5)</f>
        <v>0.17692050182357785</v>
      </c>
      <c r="L62">
        <f>1/POWER(1.2,10.5)</f>
        <v>0.14743375151964822</v>
      </c>
      <c r="M62">
        <f>1/POWER(1.2,11.5)</f>
        <v>0.12286145959970685</v>
      </c>
      <c r="N62">
        <f>1/POWER(1.2,12.5)</f>
        <v>0.1023845496664224</v>
      </c>
    </row>
    <row r="63" spans="1:14" ht="12.75">
      <c r="A63" t="s">
        <v>44</v>
      </c>
      <c r="B63">
        <f aca="true" t="shared" si="32" ref="B63:N63">B59*B62</f>
        <v>-113.19599521773434</v>
      </c>
      <c r="C63">
        <f t="shared" si="32"/>
        <v>-112.3865829938656</v>
      </c>
      <c r="D63">
        <f t="shared" si="32"/>
        <v>-40.438922316057415</v>
      </c>
      <c r="E63">
        <f t="shared" si="32"/>
        <v>14.217732277918333</v>
      </c>
      <c r="F63">
        <f t="shared" si="32"/>
        <v>15.694468823373962</v>
      </c>
      <c r="G63">
        <f t="shared" si="32"/>
        <v>16.43593595231128</v>
      </c>
      <c r="H63">
        <f t="shared" si="32"/>
        <v>19.00252383237296</v>
      </c>
      <c r="I63">
        <f t="shared" si="32"/>
        <v>16.35613899076551</v>
      </c>
      <c r="J63">
        <f t="shared" si="32"/>
        <v>14.046283325104902</v>
      </c>
      <c r="K63">
        <f t="shared" si="32"/>
        <v>12.032968010084325</v>
      </c>
      <c r="L63">
        <f t="shared" si="32"/>
        <v>10.281162113287007</v>
      </c>
      <c r="M63">
        <f t="shared" si="32"/>
        <v>8.760015746164651</v>
      </c>
      <c r="N63">
        <f t="shared" si="32"/>
        <v>6.482382236231439</v>
      </c>
    </row>
    <row r="64" spans="1:14" ht="12.75">
      <c r="A64" t="s">
        <v>45</v>
      </c>
      <c r="B64">
        <f aca="true" t="shared" si="33" ref="B64:N64">B60*B62</f>
        <v>-113.19599521773434</v>
      </c>
      <c r="C64">
        <f t="shared" si="33"/>
        <v>-206.71657900864417</v>
      </c>
      <c r="D64">
        <f t="shared" si="33"/>
        <v>-212.70273815659425</v>
      </c>
      <c r="E64">
        <f t="shared" si="33"/>
        <v>-163.03454951924354</v>
      </c>
      <c r="F64">
        <f t="shared" si="33"/>
        <v>-120.16765577599566</v>
      </c>
      <c r="G64">
        <f t="shared" si="33"/>
        <v>-83.7037771943518</v>
      </c>
      <c r="H64">
        <f t="shared" si="33"/>
        <v>-50.750623829586864</v>
      </c>
      <c r="I64">
        <f t="shared" si="33"/>
        <v>-25.936047533890203</v>
      </c>
      <c r="J64">
        <f t="shared" si="33"/>
        <v>-7.56708961980361</v>
      </c>
      <c r="K64">
        <f t="shared" si="33"/>
        <v>5.727059993581317</v>
      </c>
      <c r="L64">
        <f t="shared" si="33"/>
        <v>15.053712107938104</v>
      </c>
      <c r="M64">
        <f t="shared" si="33"/>
        <v>21.30477583611307</v>
      </c>
      <c r="N64">
        <f t="shared" si="33"/>
        <v>24.236362099659004</v>
      </c>
    </row>
    <row r="65" spans="1:4" ht="12.75">
      <c r="A65" t="s">
        <v>46</v>
      </c>
      <c r="B65">
        <f>B10*B62</f>
        <v>91.28709291752769</v>
      </c>
      <c r="C65">
        <f>C10*C62</f>
        <v>76.07257743127307</v>
      </c>
      <c r="D65">
        <f>D10*D62</f>
        <v>31.69690726303045</v>
      </c>
    </row>
    <row r="66" spans="1:4" ht="12.75">
      <c r="A66" t="s">
        <v>47</v>
      </c>
      <c r="B66">
        <f>B65</f>
        <v>91.28709291752769</v>
      </c>
      <c r="C66">
        <f>B66+C65</f>
        <v>167.35967034880076</v>
      </c>
      <c r="D66">
        <f>C66+D65</f>
        <v>199.05657761183122</v>
      </c>
    </row>
    <row r="67" spans="1:14" ht="12.75">
      <c r="A67" t="s">
        <v>48</v>
      </c>
      <c r="N67">
        <f>N64</f>
        <v>24.236362099659004</v>
      </c>
    </row>
    <row r="68" spans="1:14" ht="12.75">
      <c r="A68" t="s">
        <v>49</v>
      </c>
      <c r="N68">
        <f>N67/D66</f>
        <v>0.12175614787731828</v>
      </c>
    </row>
    <row r="69" spans="1:14" ht="12.75">
      <c r="A69" t="s">
        <v>50</v>
      </c>
      <c r="N69">
        <v>6.129</v>
      </c>
    </row>
    <row r="71" spans="1:14" ht="12.75">
      <c r="A71" t="s">
        <v>43</v>
      </c>
      <c r="B71">
        <f>1/POWER(1.15,0.5)</f>
        <v>0.9325048082403138</v>
      </c>
      <c r="C71">
        <f>1/POWER(1.15,1.5)</f>
        <v>0.8108737462959251</v>
      </c>
      <c r="D71">
        <f>1/POWER(1.15,2.5)</f>
        <v>0.7051076054747175</v>
      </c>
      <c r="E71">
        <f>1/POWER(1.15,3.5)</f>
        <v>0.6131370482388848</v>
      </c>
      <c r="F71">
        <f>1/POWER(1.15,4.5)</f>
        <v>0.5331626506425087</v>
      </c>
      <c r="G71">
        <f>1/POWER(1.15,5.5)</f>
        <v>0.4636196962108771</v>
      </c>
      <c r="H71">
        <f>1/POWER(1.15,6.5)</f>
        <v>0.40314756192250184</v>
      </c>
      <c r="I71">
        <f>1/POWER(1.15,7.5)</f>
        <v>0.35056309732391466</v>
      </c>
      <c r="J71">
        <f>1/POWER(1.15,8.5)</f>
        <v>0.30483747593383886</v>
      </c>
      <c r="K71">
        <f>1/POWER(1.15,9.5)</f>
        <v>0.26507606602942513</v>
      </c>
      <c r="L71">
        <f>1/POWER(1.15,10.5)</f>
        <v>0.23050092698210878</v>
      </c>
      <c r="M71">
        <f>1/POWER(1.15,11.5)</f>
        <v>0.20043558868009465</v>
      </c>
      <c r="N71">
        <f>1/POWER(1.15,12.5)</f>
        <v>0.17429181624356058</v>
      </c>
    </row>
    <row r="72" spans="1:14" ht="12.75">
      <c r="A72" t="s">
        <v>44</v>
      </c>
      <c r="B72">
        <f aca="true" t="shared" si="34" ref="B72:N72">B59*B71</f>
        <v>-115.63059622179891</v>
      </c>
      <c r="C72">
        <f t="shared" si="34"/>
        <v>-119.7952437827748</v>
      </c>
      <c r="D72">
        <f t="shared" si="34"/>
        <v>-44.97882308459523</v>
      </c>
      <c r="E72">
        <f t="shared" si="34"/>
        <v>16.501455481180816</v>
      </c>
      <c r="F72">
        <f t="shared" si="34"/>
        <v>19.007366430983808</v>
      </c>
      <c r="G72">
        <f t="shared" si="34"/>
        <v>20.770797492669534</v>
      </c>
      <c r="H72">
        <f t="shared" si="34"/>
        <v>25.05840492868629</v>
      </c>
      <c r="I72">
        <f t="shared" si="34"/>
        <v>22.506415647464525</v>
      </c>
      <c r="J72">
        <f t="shared" si="34"/>
        <v>20.168350148523768</v>
      </c>
      <c r="K72">
        <f t="shared" si="34"/>
        <v>18.028729230893433</v>
      </c>
      <c r="L72">
        <f t="shared" si="34"/>
        <v>16.073778040235045</v>
      </c>
      <c r="M72">
        <f t="shared" si="34"/>
        <v>14.291047157098888</v>
      </c>
      <c r="N72">
        <f t="shared" si="34"/>
        <v>11.03512372930136</v>
      </c>
    </row>
    <row r="73" spans="1:14" ht="12.75">
      <c r="A73" t="s">
        <v>45</v>
      </c>
      <c r="B73">
        <f aca="true" t="shared" si="35" ref="B73:N73">B60*B71</f>
        <v>-115.63059622179891</v>
      </c>
      <c r="C73">
        <f t="shared" si="35"/>
        <v>-220.3435883234695</v>
      </c>
      <c r="D73">
        <f t="shared" si="35"/>
        <v>-236.58194336587306</v>
      </c>
      <c r="E73">
        <f t="shared" si="35"/>
        <v>-189.22197353262183</v>
      </c>
      <c r="F73">
        <f t="shared" si="35"/>
        <v>-145.53348011912217</v>
      </c>
      <c r="G73">
        <f t="shared" si="35"/>
        <v>-105.78005478482802</v>
      </c>
      <c r="H73">
        <f t="shared" si="35"/>
        <v>-66.92425140594678</v>
      </c>
      <c r="I73">
        <f t="shared" si="35"/>
        <v>-35.688585575097896</v>
      </c>
      <c r="J73">
        <f t="shared" si="35"/>
        <v>-10.865202525474405</v>
      </c>
      <c r="K73">
        <f t="shared" si="35"/>
        <v>8.580727034828731</v>
      </c>
      <c r="L73">
        <f t="shared" si="35"/>
        <v>23.535279809651332</v>
      </c>
      <c r="M73">
        <f t="shared" si="35"/>
        <v>34.756507861143525</v>
      </c>
      <c r="N73">
        <f t="shared" si="35"/>
        <v>41.25817404333922</v>
      </c>
    </row>
    <row r="74" spans="1:4" ht="12.75">
      <c r="A74" t="s">
        <v>46</v>
      </c>
      <c r="B74">
        <f>B10*B71</f>
        <v>93.25048082403138</v>
      </c>
      <c r="C74">
        <f>C10*C71</f>
        <v>81.08737462959252</v>
      </c>
      <c r="D74">
        <f>D10*D71</f>
        <v>35.255380273735874</v>
      </c>
    </row>
    <row r="75" spans="1:4" ht="12.75">
      <c r="A75" t="s">
        <v>47</v>
      </c>
      <c r="B75">
        <f>B74</f>
        <v>93.25048082403138</v>
      </c>
      <c r="C75">
        <f>B75+C74</f>
        <v>174.3378554536239</v>
      </c>
      <c r="D75">
        <f>C75+D74</f>
        <v>209.59323572735977</v>
      </c>
    </row>
    <row r="76" spans="1:14" ht="12.75">
      <c r="A76" t="s">
        <v>48</v>
      </c>
      <c r="N76">
        <f>N73</f>
        <v>41.25817404333922</v>
      </c>
    </row>
    <row r="77" spans="1:14" ht="12.75">
      <c r="A77" t="s">
        <v>49</v>
      </c>
      <c r="N77">
        <f>N76/D75</f>
        <v>0.19684878617460783</v>
      </c>
    </row>
    <row r="78" ht="12.75">
      <c r="A78" t="s">
        <v>50</v>
      </c>
    </row>
    <row r="80" spans="1:14" ht="12.75">
      <c r="A80" t="s">
        <v>43</v>
      </c>
      <c r="B80">
        <f>1/POWER(1.25,0.5)</f>
        <v>0.8944271909999159</v>
      </c>
      <c r="C80">
        <f>1/POWER(1.25,1.5)</f>
        <v>0.7155417527999327</v>
      </c>
      <c r="D80">
        <f>1/POWER(1.25,2.5)</f>
        <v>0.5724334022399462</v>
      </c>
      <c r="E80">
        <f>1/POWER(1.25,3.5)</f>
        <v>0.4579467217919569</v>
      </c>
      <c r="F80">
        <f>1/POWER(1.25,4.5)</f>
        <v>0.36635737743356556</v>
      </c>
      <c r="G80">
        <f>1/POWER(1.25,5.5)</f>
        <v>0.29308590194685247</v>
      </c>
      <c r="H80">
        <f>1/POWER(1.25,6.5)</f>
        <v>0.2344687215574819</v>
      </c>
      <c r="I80">
        <f>1/POWER(1.25,7.5)</f>
        <v>0.18757497724598554</v>
      </c>
      <c r="J80">
        <f>1/POWER(1.25,8.5)</f>
        <v>0.15005998179678842</v>
      </c>
      <c r="K80">
        <f>1/POWER(1.25,9.5)</f>
        <v>0.12004798543743075</v>
      </c>
      <c r="L80">
        <f>1/POWER(1.25,10.5)</f>
        <v>0.09603838834994462</v>
      </c>
      <c r="M80">
        <f>1/POWER(1.25,11.5)</f>
        <v>0.0768307106799557</v>
      </c>
      <c r="N80">
        <f>1/POWER(1.25,12.5)</f>
        <v>0.06146456854396452</v>
      </c>
    </row>
    <row r="81" spans="1:14" ht="12.75">
      <c r="A81" t="s">
        <v>44</v>
      </c>
      <c r="B81">
        <f aca="true" t="shared" si="36" ref="B81:N81">B59*B80</f>
        <v>-110.90897168398956</v>
      </c>
      <c r="C81">
        <f t="shared" si="36"/>
        <v>-105.71127639165087</v>
      </c>
      <c r="D81">
        <f t="shared" si="36"/>
        <v>-36.51553397970926</v>
      </c>
      <c r="E81">
        <f t="shared" si="36"/>
        <v>12.324793395062414</v>
      </c>
      <c r="F81">
        <f t="shared" si="36"/>
        <v>13.060721543758536</v>
      </c>
      <c r="G81">
        <f t="shared" si="36"/>
        <v>13.1306498991482</v>
      </c>
      <c r="H81">
        <f t="shared" si="36"/>
        <v>14.573850180019752</v>
      </c>
      <c r="I81">
        <f t="shared" si="36"/>
        <v>12.042455224718429</v>
      </c>
      <c r="J81">
        <f t="shared" si="36"/>
        <v>9.928117423513857</v>
      </c>
      <c r="K81">
        <f t="shared" si="36"/>
        <v>8.164873791077857</v>
      </c>
      <c r="L81">
        <f t="shared" si="36"/>
        <v>6.697151971968967</v>
      </c>
      <c r="M81">
        <f t="shared" si="36"/>
        <v>5.4780257172448446</v>
      </c>
      <c r="N81">
        <f t="shared" si="36"/>
        <v>3.891571810250341</v>
      </c>
    </row>
    <row r="82" spans="1:14" ht="12.75">
      <c r="A82" t="s">
        <v>45</v>
      </c>
      <c r="B82">
        <f aca="true" t="shared" si="37" ref="B82:N82">B60*B80</f>
        <v>-110.90897168398956</v>
      </c>
      <c r="C82">
        <f t="shared" si="37"/>
        <v>-194.4384537388425</v>
      </c>
      <c r="D82">
        <f t="shared" si="37"/>
        <v>-192.06629697078327</v>
      </c>
      <c r="E82">
        <f t="shared" si="37"/>
        <v>-141.32824418156417</v>
      </c>
      <c r="F82">
        <f t="shared" si="37"/>
        <v>-100.00187380149282</v>
      </c>
      <c r="G82">
        <f t="shared" si="37"/>
        <v>-66.87084914204607</v>
      </c>
      <c r="H82">
        <f t="shared" si="37"/>
        <v>-38.922829133617086</v>
      </c>
      <c r="I82">
        <f t="shared" si="37"/>
        <v>-19.095808082175243</v>
      </c>
      <c r="J82">
        <f t="shared" si="37"/>
        <v>-5.348529042226335</v>
      </c>
      <c r="K82">
        <f t="shared" si="37"/>
        <v>3.886050557296789</v>
      </c>
      <c r="L82">
        <f t="shared" si="37"/>
        <v>9.805992417806399</v>
      </c>
      <c r="M82">
        <f t="shared" si="37"/>
        <v>13.322819651489963</v>
      </c>
      <c r="N82">
        <f t="shared" si="37"/>
        <v>14.549827531442306</v>
      </c>
    </row>
    <row r="83" spans="1:4" ht="12.75">
      <c r="A83" t="s">
        <v>46</v>
      </c>
      <c r="B83">
        <f>B10*B80</f>
        <v>89.44271909999159</v>
      </c>
      <c r="C83">
        <f>C10*C80</f>
        <v>71.55417527999327</v>
      </c>
      <c r="D83">
        <f>D10*D80</f>
        <v>28.62167011199731</v>
      </c>
    </row>
    <row r="84" spans="1:4" ht="12.75">
      <c r="A84" t="s">
        <v>47</v>
      </c>
      <c r="B84">
        <f>B83</f>
        <v>89.44271909999159</v>
      </c>
      <c r="C84">
        <f>B84+C83</f>
        <v>160.99689437998487</v>
      </c>
      <c r="D84">
        <f>C84+D83</f>
        <v>189.61856449198217</v>
      </c>
    </row>
    <row r="85" spans="1:14" ht="12.75">
      <c r="A85" t="s">
        <v>48</v>
      </c>
      <c r="N85">
        <f>N82</f>
        <v>14.549827531442306</v>
      </c>
    </row>
    <row r="86" spans="1:14" ht="12.75">
      <c r="A86" t="s">
        <v>49</v>
      </c>
      <c r="N86">
        <f>N85/D84</f>
        <v>0.07673208354057301</v>
      </c>
    </row>
    <row r="87" ht="12.75">
      <c r="A87" t="s">
        <v>50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O93"/>
  <sheetViews>
    <sheetView zoomScalePageLayoutView="0" workbookViewId="0" topLeftCell="A85">
      <selection activeCell="B93" sqref="B93:B94"/>
    </sheetView>
  </sheetViews>
  <sheetFormatPr defaultColWidth="9.00390625" defaultRowHeight="12.75"/>
  <sheetData>
    <row r="3" ht="12.75">
      <c r="A3" t="s">
        <v>1</v>
      </c>
    </row>
    <row r="5" spans="1:14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  <c r="M5" t="s">
        <v>14</v>
      </c>
      <c r="N5" t="s">
        <v>15</v>
      </c>
    </row>
    <row r="6" ht="12.75">
      <c r="A6" t="s">
        <v>16</v>
      </c>
    </row>
    <row r="7" spans="1:14" ht="12.75">
      <c r="A7" t="s">
        <v>17</v>
      </c>
      <c r="B7">
        <v>0</v>
      </c>
      <c r="C7">
        <v>0</v>
      </c>
      <c r="D7">
        <v>200</v>
      </c>
      <c r="E7">
        <v>300</v>
      </c>
      <c r="F7">
        <f aca="true" t="shared" si="0" ref="F7:N7">E7</f>
        <v>300</v>
      </c>
      <c r="G7">
        <f t="shared" si="0"/>
        <v>300</v>
      </c>
      <c r="H7">
        <f t="shared" si="0"/>
        <v>300</v>
      </c>
      <c r="I7">
        <f t="shared" si="0"/>
        <v>300</v>
      </c>
      <c r="J7">
        <f t="shared" si="0"/>
        <v>300</v>
      </c>
      <c r="K7">
        <f t="shared" si="0"/>
        <v>300</v>
      </c>
      <c r="L7">
        <f t="shared" si="0"/>
        <v>300</v>
      </c>
      <c r="M7">
        <f t="shared" si="0"/>
        <v>300</v>
      </c>
      <c r="N7">
        <f t="shared" si="0"/>
        <v>300</v>
      </c>
    </row>
    <row r="8" spans="1:14" ht="12.75">
      <c r="A8" t="s">
        <v>18</v>
      </c>
      <c r="B8">
        <v>0</v>
      </c>
      <c r="C8">
        <v>0</v>
      </c>
      <c r="D8">
        <v>70</v>
      </c>
      <c r="E8">
        <v>100</v>
      </c>
      <c r="F8">
        <f aca="true" t="shared" si="1" ref="F8:N8">E8</f>
        <v>100</v>
      </c>
      <c r="G8">
        <f t="shared" si="1"/>
        <v>100</v>
      </c>
      <c r="H8">
        <f t="shared" si="1"/>
        <v>100</v>
      </c>
      <c r="I8">
        <f t="shared" si="1"/>
        <v>100</v>
      </c>
      <c r="J8">
        <f t="shared" si="1"/>
        <v>100</v>
      </c>
      <c r="K8">
        <f t="shared" si="1"/>
        <v>100</v>
      </c>
      <c r="L8">
        <f t="shared" si="1"/>
        <v>100</v>
      </c>
      <c r="M8">
        <f t="shared" si="1"/>
        <v>100</v>
      </c>
      <c r="N8">
        <f t="shared" si="1"/>
        <v>100</v>
      </c>
    </row>
    <row r="9" spans="1:14" ht="12.75">
      <c r="A9" t="s">
        <v>19</v>
      </c>
      <c r="B9">
        <v>0</v>
      </c>
      <c r="C9">
        <v>0</v>
      </c>
      <c r="D9">
        <v>100</v>
      </c>
      <c r="E9">
        <v>150</v>
      </c>
      <c r="F9">
        <f aca="true" t="shared" si="2" ref="F9:N9">E9</f>
        <v>150</v>
      </c>
      <c r="G9">
        <f t="shared" si="2"/>
        <v>150</v>
      </c>
      <c r="H9">
        <f t="shared" si="2"/>
        <v>150</v>
      </c>
      <c r="I9">
        <f t="shared" si="2"/>
        <v>150</v>
      </c>
      <c r="J9">
        <f t="shared" si="2"/>
        <v>150</v>
      </c>
      <c r="K9">
        <f t="shared" si="2"/>
        <v>150</v>
      </c>
      <c r="L9">
        <f t="shared" si="2"/>
        <v>150</v>
      </c>
      <c r="M9">
        <f t="shared" si="2"/>
        <v>150</v>
      </c>
      <c r="N9">
        <f t="shared" si="2"/>
        <v>150</v>
      </c>
    </row>
    <row r="10" spans="1:4" ht="12.75">
      <c r="A10" t="s">
        <v>20</v>
      </c>
      <c r="B10">
        <v>100</v>
      </c>
      <c r="C10">
        <v>100</v>
      </c>
      <c r="D10">
        <v>50</v>
      </c>
    </row>
    <row r="11" spans="1:8" ht="12.75">
      <c r="A11" t="s">
        <v>21</v>
      </c>
      <c r="B11">
        <f>B10</f>
        <v>100</v>
      </c>
      <c r="C11">
        <f>B11+C10</f>
        <v>200</v>
      </c>
      <c r="D11">
        <f>C11+D10</f>
        <v>250</v>
      </c>
      <c r="E11">
        <f>D11-E49+E50</f>
        <v>210.15839999999997</v>
      </c>
      <c r="F11">
        <f>E11-F49+F50</f>
        <v>167.527888</v>
      </c>
      <c r="G11">
        <f>F11-G49+G50</f>
        <v>122.12639271999997</v>
      </c>
      <c r="H11">
        <v>0</v>
      </c>
    </row>
    <row r="12" spans="1:14" ht="12.75">
      <c r="A12" t="s">
        <v>22</v>
      </c>
      <c r="F12">
        <v>1.07</v>
      </c>
      <c r="G12">
        <f aca="true" t="shared" si="3" ref="G12:N12">F12-0.005</f>
        <v>1.0650000000000002</v>
      </c>
      <c r="H12">
        <f t="shared" si="3"/>
        <v>1.0600000000000003</v>
      </c>
      <c r="I12">
        <f t="shared" si="3"/>
        <v>1.0550000000000004</v>
      </c>
      <c r="J12">
        <f t="shared" si="3"/>
        <v>1.0500000000000005</v>
      </c>
      <c r="K12">
        <f t="shared" si="3"/>
        <v>1.0450000000000006</v>
      </c>
      <c r="L12">
        <f t="shared" si="3"/>
        <v>1.0400000000000007</v>
      </c>
      <c r="M12">
        <f t="shared" si="3"/>
        <v>1.0350000000000008</v>
      </c>
      <c r="N12">
        <f t="shared" si="3"/>
        <v>1.030000000000001</v>
      </c>
    </row>
    <row r="13" ht="12.75">
      <c r="A13" t="s">
        <v>23</v>
      </c>
    </row>
    <row r="14" spans="1:14" ht="12.75">
      <c r="A14" t="s">
        <v>17</v>
      </c>
      <c r="D14">
        <f>E14*D7/E7</f>
        <v>19.284000000000002</v>
      </c>
      <c r="E14">
        <f>0.9*32.14</f>
        <v>28.926000000000002</v>
      </c>
      <c r="F14">
        <f>E14*$F$12</f>
        <v>30.950820000000004</v>
      </c>
      <c r="G14">
        <f>F14*$G$12</f>
        <v>32.96262330000001</v>
      </c>
      <c r="H14">
        <f>G14*$H$12</f>
        <v>34.94038069800002</v>
      </c>
      <c r="I14">
        <f>H14*$I$12</f>
        <v>36.86210163639004</v>
      </c>
      <c r="J14">
        <f>I14*$J$12</f>
        <v>38.70520671820956</v>
      </c>
      <c r="K14">
        <f>J14*$K$12</f>
        <v>40.44694102052901</v>
      </c>
      <c r="L14">
        <f>K14*$L$12</f>
        <v>42.0648186613502</v>
      </c>
      <c r="M14">
        <f>L14*$M$12</f>
        <v>43.53708731449749</v>
      </c>
      <c r="N14">
        <f>M14*$N$12</f>
        <v>44.84319993393245</v>
      </c>
    </row>
    <row r="15" spans="1:14" ht="12.75">
      <c r="A15" t="s">
        <v>18</v>
      </c>
      <c r="D15">
        <f>E15*D8/E8</f>
        <v>12.1527</v>
      </c>
      <c r="E15">
        <f>0.9*19.29</f>
        <v>17.361</v>
      </c>
      <c r="F15">
        <f>E15*$F$12</f>
        <v>18.57627</v>
      </c>
      <c r="G15">
        <f>F15*$G$12</f>
        <v>19.783727550000005</v>
      </c>
      <c r="H15">
        <f>G15*$H$12</f>
        <v>20.97075120300001</v>
      </c>
      <c r="I15">
        <f>H15*$I$12</f>
        <v>22.12414251916502</v>
      </c>
      <c r="J15">
        <f>I15*$J$12</f>
        <v>23.23034964512328</v>
      </c>
      <c r="K15">
        <f>J15*$K$12</f>
        <v>24.27571537915384</v>
      </c>
      <c r="L15">
        <f>K15*$L$12</f>
        <v>25.24674399432001</v>
      </c>
      <c r="M15">
        <f>L15*$M$12</f>
        <v>26.13038003412123</v>
      </c>
      <c r="N15">
        <f>M15*$N$12</f>
        <v>26.914291435144893</v>
      </c>
    </row>
    <row r="16" spans="1:14" ht="12.75">
      <c r="A16" t="s">
        <v>19</v>
      </c>
      <c r="D16">
        <f>E16*D9/E9</f>
        <v>16.722</v>
      </c>
      <c r="E16">
        <f>0.9*27.87</f>
        <v>25.083000000000002</v>
      </c>
      <c r="F16">
        <f>E16*$F$12</f>
        <v>26.838810000000002</v>
      </c>
      <c r="G16">
        <f>F16*$G$12</f>
        <v>28.583332650000006</v>
      </c>
      <c r="H16">
        <f>G16*$H$12</f>
        <v>30.298332609000013</v>
      </c>
      <c r="I16">
        <f>H16*$I$12</f>
        <v>31.964740902495027</v>
      </c>
      <c r="J16">
        <f>I16*$J$12</f>
        <v>33.56297794761979</v>
      </c>
      <c r="K16">
        <f>J16*$K$12</f>
        <v>35.0733119552627</v>
      </c>
      <c r="L16">
        <f>K16*$L$12</f>
        <v>36.476244433473234</v>
      </c>
      <c r="M16">
        <f>L16*$M$12</f>
        <v>37.75291298864482</v>
      </c>
      <c r="N16">
        <f>M16*$N$12</f>
        <v>38.8855003783042</v>
      </c>
    </row>
    <row r="17" ht="12.75">
      <c r="A17" t="s">
        <v>24</v>
      </c>
    </row>
    <row r="18" spans="1:14" ht="12.75">
      <c r="A18" t="s">
        <v>17</v>
      </c>
      <c r="D18">
        <f>E18*D7/E7</f>
        <v>50</v>
      </c>
      <c r="E18">
        <f>75</f>
        <v>75</v>
      </c>
      <c r="F18">
        <f>E18*$F$12</f>
        <v>80.25</v>
      </c>
      <c r="G18">
        <f>F18*$G$12</f>
        <v>85.46625000000002</v>
      </c>
      <c r="H18">
        <f>G18*$H$12</f>
        <v>90.59422500000004</v>
      </c>
      <c r="I18">
        <f>H18*$I$12</f>
        <v>95.57690737500008</v>
      </c>
      <c r="J18">
        <f>I18*$J$12</f>
        <v>100.35575274375013</v>
      </c>
      <c r="K18">
        <f>J18*$K$12</f>
        <v>104.87176161721895</v>
      </c>
      <c r="L18">
        <f>K18*$L$12</f>
        <v>109.06663208190778</v>
      </c>
      <c r="M18">
        <f>L18*$M$12</f>
        <v>112.88396420477464</v>
      </c>
      <c r="N18">
        <f>M18*$N$12</f>
        <v>116.27048313091798</v>
      </c>
    </row>
    <row r="19" spans="1:14" ht="12.75">
      <c r="A19" t="s">
        <v>18</v>
      </c>
      <c r="D19">
        <f>E19*D8/E8</f>
        <v>31.5</v>
      </c>
      <c r="E19">
        <f>45</f>
        <v>45</v>
      </c>
      <c r="F19">
        <f>E19*$F$12</f>
        <v>48.150000000000006</v>
      </c>
      <c r="G19">
        <f>F19*$G$12</f>
        <v>51.279750000000014</v>
      </c>
      <c r="H19">
        <f>G19*$H$12</f>
        <v>54.35653500000003</v>
      </c>
      <c r="I19">
        <f>H19*$I$12</f>
        <v>57.34614442500005</v>
      </c>
      <c r="J19">
        <f>I19*$J$12</f>
        <v>60.21345164625008</v>
      </c>
      <c r="K19">
        <f>J19*$K$12</f>
        <v>62.923056970331366</v>
      </c>
      <c r="L19">
        <f>K19*$L$12</f>
        <v>65.43997924914467</v>
      </c>
      <c r="M19">
        <f>L19*$M$12</f>
        <v>67.73037852286478</v>
      </c>
      <c r="N19">
        <f>M19*$N$12</f>
        <v>69.76228987855079</v>
      </c>
    </row>
    <row r="20" spans="1:14" ht="12.75">
      <c r="A20" t="s">
        <v>19</v>
      </c>
      <c r="D20">
        <f>E20*D9/E9</f>
        <v>43.333333333333336</v>
      </c>
      <c r="E20">
        <f>65</f>
        <v>65</v>
      </c>
      <c r="F20">
        <f>E20*$F$12</f>
        <v>69.55</v>
      </c>
      <c r="G20">
        <f>F20*$G$12</f>
        <v>74.07075</v>
      </c>
      <c r="H20">
        <f>G20*$H$12</f>
        <v>78.51499500000003</v>
      </c>
      <c r="I20">
        <f>H20*$I$12</f>
        <v>82.83331972500005</v>
      </c>
      <c r="J20">
        <f>I20*$J$12</f>
        <v>86.9749857112501</v>
      </c>
      <c r="K20">
        <f>J20*$K$12</f>
        <v>90.8888600682564</v>
      </c>
      <c r="L20">
        <f>K20*$L$12</f>
        <v>94.52441447098673</v>
      </c>
      <c r="M20">
        <f>L20*$M$12</f>
        <v>97.83276897747133</v>
      </c>
      <c r="N20">
        <f>M20*$N$12</f>
        <v>100.76775204679556</v>
      </c>
    </row>
    <row r="21" ht="12.75">
      <c r="A21" t="s">
        <v>25</v>
      </c>
    </row>
    <row r="22" spans="1:14" ht="12.75">
      <c r="A22" t="s">
        <v>17</v>
      </c>
      <c r="D22">
        <f aca="true" t="shared" si="4" ref="D22:N22">D18*1000/D7</f>
        <v>250</v>
      </c>
      <c r="E22">
        <f t="shared" si="4"/>
        <v>250</v>
      </c>
      <c r="F22">
        <f t="shared" si="4"/>
        <v>267.5</v>
      </c>
      <c r="G22">
        <f t="shared" si="4"/>
        <v>284.88750000000005</v>
      </c>
      <c r="H22">
        <f t="shared" si="4"/>
        <v>301.9807500000001</v>
      </c>
      <c r="I22">
        <f t="shared" si="4"/>
        <v>318.58969125000027</v>
      </c>
      <c r="J22">
        <f t="shared" si="4"/>
        <v>334.5191758125004</v>
      </c>
      <c r="K22">
        <f t="shared" si="4"/>
        <v>349.5725387240631</v>
      </c>
      <c r="L22">
        <f t="shared" si="4"/>
        <v>363.5554402730259</v>
      </c>
      <c r="M22">
        <f t="shared" si="4"/>
        <v>376.27988068258213</v>
      </c>
      <c r="N22">
        <f t="shared" si="4"/>
        <v>387.5682771030599</v>
      </c>
    </row>
    <row r="23" spans="1:14" ht="12.75">
      <c r="A23" t="s">
        <v>18</v>
      </c>
      <c r="D23">
        <f aca="true" t="shared" si="5" ref="D23:N23">D19*1000/D8</f>
        <v>450</v>
      </c>
      <c r="E23">
        <f t="shared" si="5"/>
        <v>450</v>
      </c>
      <c r="F23">
        <f t="shared" si="5"/>
        <v>481.50000000000006</v>
      </c>
      <c r="G23">
        <f t="shared" si="5"/>
        <v>512.7975000000001</v>
      </c>
      <c r="H23">
        <f t="shared" si="5"/>
        <v>543.5653500000003</v>
      </c>
      <c r="I23">
        <f t="shared" si="5"/>
        <v>573.4614442500005</v>
      </c>
      <c r="J23">
        <f t="shared" si="5"/>
        <v>602.1345164625008</v>
      </c>
      <c r="K23">
        <f t="shared" si="5"/>
        <v>629.2305697033137</v>
      </c>
      <c r="L23">
        <f t="shared" si="5"/>
        <v>654.3997924914468</v>
      </c>
      <c r="M23">
        <f t="shared" si="5"/>
        <v>677.3037852286477</v>
      </c>
      <c r="N23">
        <f t="shared" si="5"/>
        <v>697.6228987855079</v>
      </c>
    </row>
    <row r="24" spans="1:14" ht="12.75">
      <c r="A24" t="s">
        <v>19</v>
      </c>
      <c r="D24">
        <f aca="true" t="shared" si="6" ref="D24:N24">D20*1000/D9</f>
        <v>433.33333333333337</v>
      </c>
      <c r="E24">
        <f t="shared" si="6"/>
        <v>433.3333333333333</v>
      </c>
      <c r="F24">
        <f t="shared" si="6"/>
        <v>463.6666666666667</v>
      </c>
      <c r="G24">
        <f t="shared" si="6"/>
        <v>493.805</v>
      </c>
      <c r="H24">
        <f t="shared" si="6"/>
        <v>523.4333000000001</v>
      </c>
      <c r="I24">
        <f t="shared" si="6"/>
        <v>552.2221315000004</v>
      </c>
      <c r="J24">
        <f t="shared" si="6"/>
        <v>579.8332380750007</v>
      </c>
      <c r="K24">
        <f t="shared" si="6"/>
        <v>605.925733788376</v>
      </c>
      <c r="L24">
        <f t="shared" si="6"/>
        <v>630.1627631399115</v>
      </c>
      <c r="M24">
        <f t="shared" si="6"/>
        <v>652.2184598498089</v>
      </c>
      <c r="N24">
        <f t="shared" si="6"/>
        <v>671.7850136453037</v>
      </c>
    </row>
    <row r="25" ht="12.75">
      <c r="A25" t="s">
        <v>26</v>
      </c>
    </row>
    <row r="26" spans="1:14" ht="12.75">
      <c r="A26" t="s">
        <v>17</v>
      </c>
      <c r="D26">
        <f aca="true" t="shared" si="7" ref="D26:N26">D14+D18</f>
        <v>69.284</v>
      </c>
      <c r="E26">
        <f t="shared" si="7"/>
        <v>103.926</v>
      </c>
      <c r="F26">
        <f t="shared" si="7"/>
        <v>111.20082000000001</v>
      </c>
      <c r="G26">
        <f t="shared" si="7"/>
        <v>118.42887330000002</v>
      </c>
      <c r="H26">
        <f t="shared" si="7"/>
        <v>125.53460569800006</v>
      </c>
      <c r="I26">
        <f t="shared" si="7"/>
        <v>132.4390090113901</v>
      </c>
      <c r="J26">
        <f t="shared" si="7"/>
        <v>139.0609594619597</v>
      </c>
      <c r="K26">
        <f t="shared" si="7"/>
        <v>145.31870263774795</v>
      </c>
      <c r="L26">
        <f t="shared" si="7"/>
        <v>151.13145074325797</v>
      </c>
      <c r="M26">
        <f t="shared" si="7"/>
        <v>156.42105151927214</v>
      </c>
      <c r="N26">
        <f t="shared" si="7"/>
        <v>161.11368306485042</v>
      </c>
    </row>
    <row r="27" spans="1:14" ht="12.75">
      <c r="A27" t="s">
        <v>18</v>
      </c>
      <c r="D27">
        <f aca="true" t="shared" si="8" ref="D27:N27">D15+D19</f>
        <v>43.652699999999996</v>
      </c>
      <c r="E27">
        <f t="shared" si="8"/>
        <v>62.361000000000004</v>
      </c>
      <c r="F27">
        <f t="shared" si="8"/>
        <v>66.72627</v>
      </c>
      <c r="G27">
        <f t="shared" si="8"/>
        <v>71.06347755000002</v>
      </c>
      <c r="H27">
        <f t="shared" si="8"/>
        <v>75.32728620300004</v>
      </c>
      <c r="I27">
        <f t="shared" si="8"/>
        <v>79.47028694416507</v>
      </c>
      <c r="J27">
        <f t="shared" si="8"/>
        <v>83.44380129137336</v>
      </c>
      <c r="K27">
        <f t="shared" si="8"/>
        <v>87.19877234948521</v>
      </c>
      <c r="L27">
        <f t="shared" si="8"/>
        <v>90.68672324346468</v>
      </c>
      <c r="M27">
        <f t="shared" si="8"/>
        <v>93.86075855698601</v>
      </c>
      <c r="N27">
        <f t="shared" si="8"/>
        <v>96.67658131369568</v>
      </c>
    </row>
    <row r="28" spans="1:15" ht="12.75">
      <c r="A28" t="s">
        <v>19</v>
      </c>
      <c r="D28">
        <f aca="true" t="shared" si="9" ref="D28:N28">D16+D20</f>
        <v>60.05533333333334</v>
      </c>
      <c r="E28">
        <f t="shared" si="9"/>
        <v>90.083</v>
      </c>
      <c r="F28">
        <f t="shared" si="9"/>
        <v>96.38881</v>
      </c>
      <c r="G28">
        <f t="shared" si="9"/>
        <v>102.65408265</v>
      </c>
      <c r="H28">
        <f t="shared" si="9"/>
        <v>108.81332760900004</v>
      </c>
      <c r="I28">
        <f t="shared" si="9"/>
        <v>114.79806062749508</v>
      </c>
      <c r="J28">
        <f t="shared" si="9"/>
        <v>120.5379636588699</v>
      </c>
      <c r="K28">
        <f t="shared" si="9"/>
        <v>125.96217202351912</v>
      </c>
      <c r="L28">
        <f t="shared" si="9"/>
        <v>131.00065890445995</v>
      </c>
      <c r="M28">
        <f t="shared" si="9"/>
        <v>135.58568196611617</v>
      </c>
      <c r="N28">
        <f t="shared" si="9"/>
        <v>139.65325242509977</v>
      </c>
      <c r="O28">
        <f>SUM(D26:N28)</f>
        <v>3489.8591560865425</v>
      </c>
    </row>
    <row r="29" ht="12.75">
      <c r="A29" t="s">
        <v>27</v>
      </c>
    </row>
    <row r="30" spans="1:14" ht="12.75">
      <c r="A30" t="s">
        <v>17</v>
      </c>
      <c r="D30">
        <f aca="true" t="shared" si="10" ref="D30:N30">D26/(D26+D27+D28)*100</f>
        <v>40.05039923803814</v>
      </c>
      <c r="E30">
        <f t="shared" si="10"/>
        <v>40.53750438818894</v>
      </c>
      <c r="F30">
        <f t="shared" si="10"/>
        <v>40.537504388188935</v>
      </c>
      <c r="G30">
        <f t="shared" si="10"/>
        <v>40.53750438818894</v>
      </c>
      <c r="H30">
        <f t="shared" si="10"/>
        <v>40.53750438818895</v>
      </c>
      <c r="I30">
        <f t="shared" si="10"/>
        <v>40.53750438818894</v>
      </c>
      <c r="J30">
        <f t="shared" si="10"/>
        <v>40.53750438818895</v>
      </c>
      <c r="K30">
        <f t="shared" si="10"/>
        <v>40.53750438818894</v>
      </c>
      <c r="L30">
        <f t="shared" si="10"/>
        <v>40.53750438818894</v>
      </c>
      <c r="M30">
        <f t="shared" si="10"/>
        <v>40.53750438818895</v>
      </c>
      <c r="N30">
        <f t="shared" si="10"/>
        <v>40.53750438818894</v>
      </c>
    </row>
    <row r="31" spans="1:14" ht="12.75">
      <c r="A31" t="s">
        <v>18</v>
      </c>
      <c r="D31">
        <f aca="true" t="shared" si="11" ref="D31:N31">D27/(D27+D28+D26)*100</f>
        <v>25.23393659168505</v>
      </c>
      <c r="E31">
        <f t="shared" si="11"/>
        <v>24.32460896360729</v>
      </c>
      <c r="F31">
        <f t="shared" si="11"/>
        <v>24.324608963607286</v>
      </c>
      <c r="G31">
        <f t="shared" si="11"/>
        <v>24.324608963607286</v>
      </c>
      <c r="H31">
        <f t="shared" si="11"/>
        <v>24.32460896360729</v>
      </c>
      <c r="I31">
        <f t="shared" si="11"/>
        <v>24.32460896360729</v>
      </c>
      <c r="J31">
        <f t="shared" si="11"/>
        <v>24.32460896360729</v>
      </c>
      <c r="K31">
        <f t="shared" si="11"/>
        <v>24.324608963607286</v>
      </c>
      <c r="L31">
        <f t="shared" si="11"/>
        <v>24.324608963607286</v>
      </c>
      <c r="M31">
        <f t="shared" si="11"/>
        <v>24.324608963607282</v>
      </c>
      <c r="N31">
        <f t="shared" si="11"/>
        <v>24.324608963607286</v>
      </c>
    </row>
    <row r="32" spans="1:14" ht="12.75">
      <c r="A32" t="s">
        <v>19</v>
      </c>
      <c r="D32">
        <f aca="true" t="shared" si="12" ref="D32:N32">D28/(D26+D27+D28)*100</f>
        <v>34.715664170276824</v>
      </c>
      <c r="E32">
        <f t="shared" si="12"/>
        <v>35.13788664820376</v>
      </c>
      <c r="F32">
        <f t="shared" si="12"/>
        <v>35.13788664820376</v>
      </c>
      <c r="G32">
        <f t="shared" si="12"/>
        <v>35.13788664820376</v>
      </c>
      <c r="H32">
        <f t="shared" si="12"/>
        <v>35.13788664820376</v>
      </c>
      <c r="I32">
        <f t="shared" si="12"/>
        <v>35.13788664820376</v>
      </c>
      <c r="J32">
        <f t="shared" si="12"/>
        <v>35.13788664820376</v>
      </c>
      <c r="K32">
        <f t="shared" si="12"/>
        <v>35.13788664820376</v>
      </c>
      <c r="L32">
        <f t="shared" si="12"/>
        <v>35.13788664820376</v>
      </c>
      <c r="M32">
        <f t="shared" si="12"/>
        <v>35.13788664820376</v>
      </c>
      <c r="N32">
        <f t="shared" si="12"/>
        <v>35.13788664820376</v>
      </c>
    </row>
    <row r="33" ht="12.75">
      <c r="A33" t="s">
        <v>28</v>
      </c>
    </row>
    <row r="34" spans="1:14" ht="12.75">
      <c r="A34" t="s">
        <v>17</v>
      </c>
      <c r="D34">
        <f aca="true" t="shared" si="13" ref="D34:N34">D26/D7*1000</f>
        <v>346.42</v>
      </c>
      <c r="E34">
        <f t="shared" si="13"/>
        <v>346.42</v>
      </c>
      <c r="F34">
        <f t="shared" si="13"/>
        <v>370.66940000000005</v>
      </c>
      <c r="G34">
        <f t="shared" si="13"/>
        <v>394.76291100000003</v>
      </c>
      <c r="H34">
        <f t="shared" si="13"/>
        <v>418.4486856600002</v>
      </c>
      <c r="I34">
        <f t="shared" si="13"/>
        <v>441.4633633713004</v>
      </c>
      <c r="J34">
        <f t="shared" si="13"/>
        <v>463.5365315398657</v>
      </c>
      <c r="K34">
        <f t="shared" si="13"/>
        <v>484.39567545915986</v>
      </c>
      <c r="L34">
        <f t="shared" si="13"/>
        <v>503.77150247752655</v>
      </c>
      <c r="M34">
        <f t="shared" si="13"/>
        <v>521.4035050642404</v>
      </c>
      <c r="N34">
        <f t="shared" si="13"/>
        <v>537.045610216168</v>
      </c>
    </row>
    <row r="35" spans="1:14" ht="12.75">
      <c r="A35" t="s">
        <v>18</v>
      </c>
      <c r="D35">
        <f aca="true" t="shared" si="14" ref="D35:N35">D27/D8*1000</f>
        <v>623.6099999999999</v>
      </c>
      <c r="E35">
        <f t="shared" si="14"/>
        <v>623.61</v>
      </c>
      <c r="F35">
        <f t="shared" si="14"/>
        <v>667.2627</v>
      </c>
      <c r="G35">
        <f t="shared" si="14"/>
        <v>710.6347755000002</v>
      </c>
      <c r="H35">
        <f t="shared" si="14"/>
        <v>753.2728620300004</v>
      </c>
      <c r="I35">
        <f t="shared" si="14"/>
        <v>794.7028694416507</v>
      </c>
      <c r="J35">
        <f t="shared" si="14"/>
        <v>834.4380129137337</v>
      </c>
      <c r="K35">
        <f t="shared" si="14"/>
        <v>871.987723494852</v>
      </c>
      <c r="L35">
        <f t="shared" si="14"/>
        <v>906.8672324346469</v>
      </c>
      <c r="M35">
        <f t="shared" si="14"/>
        <v>938.6075855698601</v>
      </c>
      <c r="N35">
        <f t="shared" si="14"/>
        <v>966.7658131369568</v>
      </c>
    </row>
    <row r="36" spans="1:14" ht="12.75">
      <c r="A36" t="s">
        <v>19</v>
      </c>
      <c r="D36">
        <f aca="true" t="shared" si="15" ref="D36:N36">D28/D9*1000</f>
        <v>600.5533333333334</v>
      </c>
      <c r="E36">
        <f t="shared" si="15"/>
        <v>600.5533333333333</v>
      </c>
      <c r="F36">
        <f t="shared" si="15"/>
        <v>642.5920666666667</v>
      </c>
      <c r="G36">
        <f t="shared" si="15"/>
        <v>684.360551</v>
      </c>
      <c r="H36">
        <f t="shared" si="15"/>
        <v>725.4221840600003</v>
      </c>
      <c r="I36">
        <f t="shared" si="15"/>
        <v>765.3204041833005</v>
      </c>
      <c r="J36">
        <f t="shared" si="15"/>
        <v>803.5864243924659</v>
      </c>
      <c r="K36">
        <f t="shared" si="15"/>
        <v>839.7478134901274</v>
      </c>
      <c r="L36">
        <f t="shared" si="15"/>
        <v>873.3377260297331</v>
      </c>
      <c r="M36">
        <f t="shared" si="15"/>
        <v>903.9045464407744</v>
      </c>
      <c r="N36">
        <f t="shared" si="15"/>
        <v>931.0216828339984</v>
      </c>
    </row>
    <row r="37" ht="12.75">
      <c r="A37" t="s">
        <v>29</v>
      </c>
    </row>
    <row r="38" spans="1:14" ht="12.75">
      <c r="A38" t="s">
        <v>17</v>
      </c>
      <c r="D38">
        <v>25</v>
      </c>
      <c r="E38">
        <v>25</v>
      </c>
      <c r="F38">
        <v>25</v>
      </c>
      <c r="G38">
        <v>25</v>
      </c>
      <c r="H38">
        <v>25</v>
      </c>
      <c r="I38">
        <v>25</v>
      </c>
      <c r="J38">
        <v>25</v>
      </c>
      <c r="K38">
        <v>25</v>
      </c>
      <c r="L38">
        <v>25</v>
      </c>
      <c r="M38">
        <v>25</v>
      </c>
      <c r="N38">
        <v>25</v>
      </c>
    </row>
    <row r="39" spans="1:14" ht="12.75">
      <c r="A39" t="s">
        <v>18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</row>
    <row r="40" spans="1:14" ht="12.75">
      <c r="A40" t="s">
        <v>19</v>
      </c>
      <c r="D40">
        <v>30</v>
      </c>
      <c r="E40">
        <v>30</v>
      </c>
      <c r="F40">
        <v>30</v>
      </c>
      <c r="G40">
        <v>30</v>
      </c>
      <c r="H40">
        <v>30</v>
      </c>
      <c r="I40">
        <v>30</v>
      </c>
      <c r="J40">
        <v>30</v>
      </c>
      <c r="K40">
        <v>30</v>
      </c>
      <c r="L40">
        <v>30</v>
      </c>
      <c r="M40">
        <v>30</v>
      </c>
      <c r="N40">
        <v>30</v>
      </c>
    </row>
    <row r="41" ht="12.75">
      <c r="A41" t="s">
        <v>30</v>
      </c>
    </row>
    <row r="42" spans="1:14" ht="12.75">
      <c r="A42" t="s">
        <v>17</v>
      </c>
      <c r="D42">
        <f aca="true" t="shared" si="16" ref="D42:N42">D34*(1+D38/100)</f>
        <v>433.02500000000003</v>
      </c>
      <c r="E42">
        <f t="shared" si="16"/>
        <v>433.02500000000003</v>
      </c>
      <c r="F42">
        <f t="shared" si="16"/>
        <v>463.33675000000005</v>
      </c>
      <c r="G42">
        <f t="shared" si="16"/>
        <v>493.45363875000004</v>
      </c>
      <c r="H42">
        <f t="shared" si="16"/>
        <v>523.0608570750003</v>
      </c>
      <c r="I42">
        <f t="shared" si="16"/>
        <v>551.8292042141254</v>
      </c>
      <c r="J42">
        <f t="shared" si="16"/>
        <v>579.4206644248321</v>
      </c>
      <c r="K42">
        <f t="shared" si="16"/>
        <v>605.4945943239499</v>
      </c>
      <c r="L42">
        <f t="shared" si="16"/>
        <v>629.7143780969081</v>
      </c>
      <c r="M42">
        <f t="shared" si="16"/>
        <v>651.7543813303006</v>
      </c>
      <c r="N42">
        <f t="shared" si="16"/>
        <v>671.30701277021</v>
      </c>
    </row>
    <row r="43" spans="1:14" ht="12.75">
      <c r="A43" t="s">
        <v>18</v>
      </c>
      <c r="D43">
        <f aca="true" t="shared" si="17" ref="D43:N43">D35*(1+D39/100)</f>
        <v>748.3319999999999</v>
      </c>
      <c r="E43">
        <f t="shared" si="17"/>
        <v>748.332</v>
      </c>
      <c r="F43">
        <f t="shared" si="17"/>
        <v>800.71524</v>
      </c>
      <c r="G43">
        <f t="shared" si="17"/>
        <v>852.7617306000002</v>
      </c>
      <c r="H43">
        <f t="shared" si="17"/>
        <v>903.9274344360005</v>
      </c>
      <c r="I43">
        <f t="shared" si="17"/>
        <v>953.6434433299808</v>
      </c>
      <c r="J43">
        <f t="shared" si="17"/>
        <v>1001.3256154964804</v>
      </c>
      <c r="K43">
        <f t="shared" si="17"/>
        <v>1046.3852681938224</v>
      </c>
      <c r="L43">
        <f t="shared" si="17"/>
        <v>1088.2406789215763</v>
      </c>
      <c r="M43">
        <f t="shared" si="17"/>
        <v>1126.3291026838322</v>
      </c>
      <c r="N43">
        <f t="shared" si="17"/>
        <v>1160.118975764348</v>
      </c>
    </row>
    <row r="44" spans="1:14" ht="12.75">
      <c r="A44" t="s">
        <v>19</v>
      </c>
      <c r="D44">
        <f aca="true" t="shared" si="18" ref="D44:N44">D36*(1+D40/100)</f>
        <v>780.7193333333335</v>
      </c>
      <c r="E44">
        <f t="shared" si="18"/>
        <v>780.7193333333333</v>
      </c>
      <c r="F44">
        <f t="shared" si="18"/>
        <v>835.3696866666668</v>
      </c>
      <c r="G44">
        <f t="shared" si="18"/>
        <v>889.6687163</v>
      </c>
      <c r="H44">
        <f t="shared" si="18"/>
        <v>943.0488392780004</v>
      </c>
      <c r="I44">
        <f t="shared" si="18"/>
        <v>994.9165254382907</v>
      </c>
      <c r="J44">
        <f t="shared" si="18"/>
        <v>1044.6623517102057</v>
      </c>
      <c r="K44">
        <f t="shared" si="18"/>
        <v>1091.6721575371657</v>
      </c>
      <c r="L44">
        <f t="shared" si="18"/>
        <v>1135.339043838653</v>
      </c>
      <c r="M44">
        <f t="shared" si="18"/>
        <v>1175.0759103730068</v>
      </c>
      <c r="N44">
        <f t="shared" si="18"/>
        <v>1210.328187684198</v>
      </c>
    </row>
    <row r="45" ht="12.75">
      <c r="A45" t="s">
        <v>31</v>
      </c>
    </row>
    <row r="46" spans="1:14" ht="12.75">
      <c r="A46" t="s">
        <v>17</v>
      </c>
      <c r="D46">
        <f aca="true" t="shared" si="19" ref="D46:N46">D42*D7/1000</f>
        <v>86.605</v>
      </c>
      <c r="E46">
        <f t="shared" si="19"/>
        <v>129.90750000000003</v>
      </c>
      <c r="F46">
        <f t="shared" si="19"/>
        <v>139.00102500000003</v>
      </c>
      <c r="G46">
        <f t="shared" si="19"/>
        <v>148.036091625</v>
      </c>
      <c r="H46">
        <f t="shared" si="19"/>
        <v>156.91825712250008</v>
      </c>
      <c r="I46">
        <f t="shared" si="19"/>
        <v>165.54876126423764</v>
      </c>
      <c r="J46">
        <f t="shared" si="19"/>
        <v>173.82619932744964</v>
      </c>
      <c r="K46">
        <f t="shared" si="19"/>
        <v>181.64837829718493</v>
      </c>
      <c r="L46">
        <f t="shared" si="19"/>
        <v>188.91431342907245</v>
      </c>
      <c r="M46">
        <f t="shared" si="19"/>
        <v>195.52631439909018</v>
      </c>
      <c r="N46">
        <f t="shared" si="19"/>
        <v>201.392103831063</v>
      </c>
    </row>
    <row r="47" spans="1:14" ht="12.75">
      <c r="A47" t="s">
        <v>18</v>
      </c>
      <c r="D47">
        <f aca="true" t="shared" si="20" ref="D47:N47">D43*D8/1000</f>
        <v>52.383239999999994</v>
      </c>
      <c r="E47">
        <f t="shared" si="20"/>
        <v>74.83319999999999</v>
      </c>
      <c r="F47">
        <f t="shared" si="20"/>
        <v>80.07152400000001</v>
      </c>
      <c r="G47">
        <f t="shared" si="20"/>
        <v>85.27617306000002</v>
      </c>
      <c r="H47">
        <f t="shared" si="20"/>
        <v>90.39274344360005</v>
      </c>
      <c r="I47">
        <f t="shared" si="20"/>
        <v>95.36434433299809</v>
      </c>
      <c r="J47">
        <f t="shared" si="20"/>
        <v>100.13256154964805</v>
      </c>
      <c r="K47">
        <f t="shared" si="20"/>
        <v>104.63852681938224</v>
      </c>
      <c r="L47">
        <f t="shared" si="20"/>
        <v>108.82406789215763</v>
      </c>
      <c r="M47">
        <f t="shared" si="20"/>
        <v>112.63291026838321</v>
      </c>
      <c r="N47">
        <f t="shared" si="20"/>
        <v>116.01189757643482</v>
      </c>
    </row>
    <row r="48" spans="1:15" ht="12.75">
      <c r="A48" t="s">
        <v>19</v>
      </c>
      <c r="D48">
        <f aca="true" t="shared" si="21" ref="D48:N48">D44*D9/1000</f>
        <v>78.07193333333335</v>
      </c>
      <c r="E48">
        <f t="shared" si="21"/>
        <v>117.1079</v>
      </c>
      <c r="F48">
        <f t="shared" si="21"/>
        <v>125.30545300000003</v>
      </c>
      <c r="G48">
        <f t="shared" si="21"/>
        <v>133.45030744500002</v>
      </c>
      <c r="H48">
        <f t="shared" si="21"/>
        <v>141.45732589170004</v>
      </c>
      <c r="I48">
        <f t="shared" si="21"/>
        <v>149.2374788157436</v>
      </c>
      <c r="J48">
        <f t="shared" si="21"/>
        <v>156.69935275653086</v>
      </c>
      <c r="K48">
        <f t="shared" si="21"/>
        <v>163.75082363057487</v>
      </c>
      <c r="L48">
        <f t="shared" si="21"/>
        <v>170.30085657579795</v>
      </c>
      <c r="M48">
        <f t="shared" si="21"/>
        <v>176.261386555951</v>
      </c>
      <c r="N48">
        <f t="shared" si="21"/>
        <v>181.5492281526297</v>
      </c>
      <c r="O48">
        <f>SUM(D46:N48)</f>
        <v>4381.077179395462</v>
      </c>
    </row>
    <row r="49" spans="1:15" ht="12.75">
      <c r="A49" t="s">
        <v>32</v>
      </c>
      <c r="D49">
        <f aca="true" t="shared" si="22" ref="D49:N49">(D46+D47+D48)-(D26+D27+D28)</f>
        <v>44.06814000000003</v>
      </c>
      <c r="E49">
        <f t="shared" si="22"/>
        <v>65.47860000000003</v>
      </c>
      <c r="F49">
        <f t="shared" si="22"/>
        <v>70.06210199999998</v>
      </c>
      <c r="G49">
        <f t="shared" si="22"/>
        <v>74.61613863000002</v>
      </c>
      <c r="H49">
        <f t="shared" si="22"/>
        <v>79.09310694780004</v>
      </c>
      <c r="I49">
        <f t="shared" si="22"/>
        <v>83.44322782992901</v>
      </c>
      <c r="J49">
        <f t="shared" si="22"/>
        <v>87.61538922142557</v>
      </c>
      <c r="K49">
        <f t="shared" si="22"/>
        <v>91.55808173638974</v>
      </c>
      <c r="L49">
        <f t="shared" si="22"/>
        <v>95.22040500584535</v>
      </c>
      <c r="M49">
        <f t="shared" si="22"/>
        <v>98.55311918105002</v>
      </c>
      <c r="N49">
        <f t="shared" si="22"/>
        <v>101.50971275648163</v>
      </c>
      <c r="O49">
        <f>SUM(D49:N49)</f>
        <v>891.2180233089214</v>
      </c>
    </row>
    <row r="50" spans="1:14" ht="12.75">
      <c r="A50" t="s">
        <v>33</v>
      </c>
      <c r="D50">
        <f aca="true" t="shared" si="23" ref="D50:N50">(D26+D27+D28)/10</f>
        <v>17.29920333333333</v>
      </c>
      <c r="E50">
        <f t="shared" si="23"/>
        <v>25.637</v>
      </c>
      <c r="F50">
        <f t="shared" si="23"/>
        <v>27.431590000000007</v>
      </c>
      <c r="G50">
        <f t="shared" si="23"/>
        <v>29.214643350000006</v>
      </c>
      <c r="H50">
        <f t="shared" si="23"/>
        <v>30.967521951000016</v>
      </c>
      <c r="I50">
        <f t="shared" si="23"/>
        <v>32.67073565830503</v>
      </c>
      <c r="J50">
        <f t="shared" si="23"/>
        <v>34.3042724412203</v>
      </c>
      <c r="K50">
        <f t="shared" si="23"/>
        <v>35.84796470107523</v>
      </c>
      <c r="L50">
        <f t="shared" si="23"/>
        <v>37.28188328911826</v>
      </c>
      <c r="M50">
        <f t="shared" si="23"/>
        <v>38.586749204237435</v>
      </c>
      <c r="N50">
        <f t="shared" si="23"/>
        <v>39.74435168036459</v>
      </c>
    </row>
    <row r="51" spans="1:14" ht="12.75">
      <c r="A51" t="s">
        <v>34</v>
      </c>
      <c r="B51">
        <f aca="true" t="shared" si="24" ref="B51:G51">B11*0.2</f>
        <v>20</v>
      </c>
      <c r="C51">
        <f t="shared" si="24"/>
        <v>40</v>
      </c>
      <c r="D51">
        <f t="shared" si="24"/>
        <v>50</v>
      </c>
      <c r="E51">
        <f t="shared" si="24"/>
        <v>42.031679999999994</v>
      </c>
      <c r="F51">
        <f t="shared" si="24"/>
        <v>33.5055776</v>
      </c>
      <c r="G51">
        <f t="shared" si="24"/>
        <v>24.425278543999994</v>
      </c>
      <c r="H51">
        <v>0</v>
      </c>
      <c r="I51">
        <f aca="true" t="shared" si="25" ref="I51:N51">I11*0.2</f>
        <v>0</v>
      </c>
      <c r="J51">
        <f t="shared" si="25"/>
        <v>0</v>
      </c>
      <c r="K51">
        <f t="shared" si="25"/>
        <v>0</v>
      </c>
      <c r="L51">
        <f t="shared" si="25"/>
        <v>0</v>
      </c>
      <c r="M51">
        <f t="shared" si="25"/>
        <v>0</v>
      </c>
      <c r="N51">
        <f t="shared" si="25"/>
        <v>0</v>
      </c>
    </row>
    <row r="52" spans="1:4" ht="12.75">
      <c r="A52" t="s">
        <v>35</v>
      </c>
      <c r="B52">
        <f>-(B49-B50-B51)</f>
        <v>20</v>
      </c>
      <c r="C52">
        <f>-(C49-C50-C51)+B53</f>
        <v>44</v>
      </c>
      <c r="D52">
        <f>-(D49-D50-D51)+C53</f>
        <v>31.591063333333302</v>
      </c>
    </row>
    <row r="53" spans="1:4" ht="12.75">
      <c r="A53" t="s">
        <v>36</v>
      </c>
      <c r="B53">
        <f>B52*0.2</f>
        <v>4</v>
      </c>
      <c r="C53">
        <f>C52*0.19</f>
        <v>8.36</v>
      </c>
      <c r="D53">
        <f>D52*0.18</f>
        <v>5.686391399999994</v>
      </c>
    </row>
    <row r="54" spans="1:15" ht="12.75">
      <c r="A54" t="s">
        <v>37</v>
      </c>
      <c r="B54">
        <f>-B51-B53</f>
        <v>-24</v>
      </c>
      <c r="C54">
        <f>-C51-C53</f>
        <v>-48.36</v>
      </c>
      <c r="D54">
        <f aca="true" t="shared" si="26" ref="D54:N54">D49-D50-D51-D53</f>
        <v>-28.917454733333297</v>
      </c>
      <c r="E54">
        <f t="shared" si="26"/>
        <v>-2.1900799999999663</v>
      </c>
      <c r="F54">
        <f t="shared" si="26"/>
        <v>9.124934399999972</v>
      </c>
      <c r="G54">
        <f t="shared" si="26"/>
        <v>20.976216736000026</v>
      </c>
      <c r="H54">
        <f t="shared" si="26"/>
        <v>48.12558499680002</v>
      </c>
      <c r="I54">
        <f t="shared" si="26"/>
        <v>50.77249217162399</v>
      </c>
      <c r="J54">
        <f t="shared" si="26"/>
        <v>53.311116780205275</v>
      </c>
      <c r="K54">
        <f t="shared" si="26"/>
        <v>55.71011703531451</v>
      </c>
      <c r="L54">
        <f t="shared" si="26"/>
        <v>57.93852171672709</v>
      </c>
      <c r="M54">
        <f t="shared" si="26"/>
        <v>59.96636997681259</v>
      </c>
      <c r="N54">
        <f t="shared" si="26"/>
        <v>61.765361076117046</v>
      </c>
      <c r="O54">
        <f>SUM(B54:N54)</f>
        <v>314.22318015626723</v>
      </c>
    </row>
    <row r="55" spans="1:14" ht="12.75">
      <c r="A55" t="s">
        <v>38</v>
      </c>
      <c r="B55">
        <v>0</v>
      </c>
      <c r="C55">
        <v>0</v>
      </c>
      <c r="D55">
        <v>0</v>
      </c>
      <c r="E55">
        <f aca="true" t="shared" si="27" ref="E55:N55">E54*0.3</f>
        <v>-0.6570239999999898</v>
      </c>
      <c r="F55">
        <f t="shared" si="27"/>
        <v>2.7374803199999915</v>
      </c>
      <c r="G55">
        <f t="shared" si="27"/>
        <v>6.292865020800008</v>
      </c>
      <c r="H55">
        <f t="shared" si="27"/>
        <v>14.437675499040006</v>
      </c>
      <c r="I55">
        <f t="shared" si="27"/>
        <v>15.231747651487195</v>
      </c>
      <c r="J55">
        <f t="shared" si="27"/>
        <v>15.993335034061582</v>
      </c>
      <c r="K55">
        <f t="shared" si="27"/>
        <v>16.71303511059435</v>
      </c>
      <c r="L55">
        <f t="shared" si="27"/>
        <v>17.381556515018126</v>
      </c>
      <c r="M55">
        <f t="shared" si="27"/>
        <v>17.989910993043775</v>
      </c>
      <c r="N55">
        <f t="shared" si="27"/>
        <v>18.529608322835113</v>
      </c>
    </row>
    <row r="56" spans="1:15" ht="12.75">
      <c r="A56" t="s">
        <v>39</v>
      </c>
      <c r="B56">
        <f aca="true" t="shared" si="28" ref="B56:N56">B54-B55</f>
        <v>-24</v>
      </c>
      <c r="C56">
        <f t="shared" si="28"/>
        <v>-48.36</v>
      </c>
      <c r="D56">
        <f t="shared" si="28"/>
        <v>-28.917454733333297</v>
      </c>
      <c r="E56">
        <f t="shared" si="28"/>
        <v>-1.5330559999999764</v>
      </c>
      <c r="F56">
        <f t="shared" si="28"/>
        <v>6.387454079999981</v>
      </c>
      <c r="G56">
        <f t="shared" si="28"/>
        <v>14.683351715200018</v>
      </c>
      <c r="H56">
        <f t="shared" si="28"/>
        <v>33.68790949776002</v>
      </c>
      <c r="I56">
        <f t="shared" si="28"/>
        <v>35.54074452013679</v>
      </c>
      <c r="J56">
        <f t="shared" si="28"/>
        <v>37.317781746143694</v>
      </c>
      <c r="K56">
        <f t="shared" si="28"/>
        <v>38.99708192472016</v>
      </c>
      <c r="L56">
        <f t="shared" si="28"/>
        <v>40.55696520170896</v>
      </c>
      <c r="M56">
        <f t="shared" si="28"/>
        <v>41.97645898376881</v>
      </c>
      <c r="N56">
        <f t="shared" si="28"/>
        <v>43.23575275328193</v>
      </c>
      <c r="O56">
        <f>SUM(B56:N56)</f>
        <v>189.5729896893871</v>
      </c>
    </row>
    <row r="57" spans="1:14" ht="12.75">
      <c r="A57" t="s">
        <v>40</v>
      </c>
      <c r="C57">
        <f>0.208*3</f>
        <v>0.624</v>
      </c>
      <c r="D57">
        <f>0.208*12+1.875*5</f>
        <v>11.871</v>
      </c>
      <c r="E57">
        <f aca="true" t="shared" si="29" ref="E57:M57">0.208*12+1.875*12</f>
        <v>24.996</v>
      </c>
      <c r="F57">
        <f t="shared" si="29"/>
        <v>24.996</v>
      </c>
      <c r="G57">
        <f t="shared" si="29"/>
        <v>24.996</v>
      </c>
      <c r="H57">
        <f t="shared" si="29"/>
        <v>24.996</v>
      </c>
      <c r="I57">
        <f t="shared" si="29"/>
        <v>24.996</v>
      </c>
      <c r="J57">
        <f t="shared" si="29"/>
        <v>24.996</v>
      </c>
      <c r="K57">
        <f t="shared" si="29"/>
        <v>24.996</v>
      </c>
      <c r="L57">
        <f t="shared" si="29"/>
        <v>24.996</v>
      </c>
      <c r="M57">
        <f t="shared" si="29"/>
        <v>24.996</v>
      </c>
      <c r="N57">
        <f>1.875*7+0.208*12</f>
        <v>15.621</v>
      </c>
    </row>
    <row r="59" spans="1:14" ht="12.75">
      <c r="A59" t="s">
        <v>41</v>
      </c>
      <c r="B59">
        <f>-B10+B56</f>
        <v>-124</v>
      </c>
      <c r="C59">
        <f aca="true" t="shared" si="30" ref="C59:N59">-C10+C56+C57</f>
        <v>-147.73600000000002</v>
      </c>
      <c r="D59">
        <f t="shared" si="30"/>
        <v>-67.0464547333333</v>
      </c>
      <c r="E59">
        <f t="shared" si="30"/>
        <v>23.46294400000002</v>
      </c>
      <c r="F59">
        <f t="shared" si="30"/>
        <v>31.38345407999998</v>
      </c>
      <c r="G59">
        <f t="shared" si="30"/>
        <v>39.67935171520001</v>
      </c>
      <c r="H59">
        <f t="shared" si="30"/>
        <v>58.68390949776001</v>
      </c>
      <c r="I59">
        <f t="shared" si="30"/>
        <v>60.53674452013679</v>
      </c>
      <c r="J59">
        <f t="shared" si="30"/>
        <v>62.31378174614369</v>
      </c>
      <c r="K59">
        <f t="shared" si="30"/>
        <v>63.99308192472016</v>
      </c>
      <c r="L59">
        <f t="shared" si="30"/>
        <v>65.55296520170896</v>
      </c>
      <c r="M59">
        <f t="shared" si="30"/>
        <v>66.9724589837688</v>
      </c>
      <c r="N59">
        <f t="shared" si="30"/>
        <v>58.85675275328193</v>
      </c>
    </row>
    <row r="60" spans="1:14" ht="12.75">
      <c r="A60" t="s">
        <v>42</v>
      </c>
      <c r="B60">
        <f>B59</f>
        <v>-124</v>
      </c>
      <c r="C60">
        <f aca="true" t="shared" si="31" ref="C60:N60">C59+B60</f>
        <v>-271.736</v>
      </c>
      <c r="D60">
        <f t="shared" si="31"/>
        <v>-338.7824547333333</v>
      </c>
      <c r="E60">
        <f t="shared" si="31"/>
        <v>-315.31951073333323</v>
      </c>
      <c r="F60">
        <f t="shared" si="31"/>
        <v>-283.93605665333325</v>
      </c>
      <c r="G60">
        <f t="shared" si="31"/>
        <v>-244.25670493813323</v>
      </c>
      <c r="H60">
        <f t="shared" si="31"/>
        <v>-185.57279544037323</v>
      </c>
      <c r="I60">
        <f t="shared" si="31"/>
        <v>-125.03605092023643</v>
      </c>
      <c r="J60">
        <f t="shared" si="31"/>
        <v>-62.722269174092744</v>
      </c>
      <c r="K60">
        <f t="shared" si="31"/>
        <v>1.2708127506274138</v>
      </c>
      <c r="L60">
        <f t="shared" si="31"/>
        <v>66.82377795233637</v>
      </c>
      <c r="M60">
        <f t="shared" si="31"/>
        <v>133.79623693610517</v>
      </c>
      <c r="N60">
        <f t="shared" si="31"/>
        <v>192.6529896893871</v>
      </c>
    </row>
    <row r="62" spans="1:14" ht="12.75">
      <c r="A62" t="s">
        <v>43</v>
      </c>
      <c r="B62">
        <f>1/POWER(1.2,0.5)</f>
        <v>0.9128709291752769</v>
      </c>
      <c r="C62">
        <f>1/POWER(1.2,1.5)</f>
        <v>0.7607257743127307</v>
      </c>
      <c r="D62">
        <f>1/POWER(1.2,2.5)</f>
        <v>0.633938145260609</v>
      </c>
      <c r="E62">
        <f>1/POWER(1.2,3.5)</f>
        <v>0.5282817877171742</v>
      </c>
      <c r="F62">
        <f>1/POWER(1.2,4.5)</f>
        <v>0.44023482309764517</v>
      </c>
      <c r="G62">
        <f>1/POWER(1.2,5.5)</f>
        <v>0.36686235258137107</v>
      </c>
      <c r="H62">
        <f>1/POWER(1.2,6.5)</f>
        <v>0.3057186271511425</v>
      </c>
      <c r="I62">
        <f>1/POWER(1.2,7.5)</f>
        <v>0.25476552262595203</v>
      </c>
      <c r="J62">
        <f>1/POWER(1.2,8.5)</f>
        <v>0.21230460218829345</v>
      </c>
      <c r="K62">
        <f>1/POWER(1.2,9.5)</f>
        <v>0.17692050182357785</v>
      </c>
      <c r="L62">
        <f>1/POWER(1.2,10.5)</f>
        <v>0.14743375151964822</v>
      </c>
      <c r="M62">
        <f>1/POWER(1.2,11.5)</f>
        <v>0.12286145959970685</v>
      </c>
      <c r="N62">
        <f>1/POWER(1.2,12.5)</f>
        <v>0.1023845496664224</v>
      </c>
    </row>
    <row r="63" spans="1:14" ht="12.75">
      <c r="A63" t="s">
        <v>44</v>
      </c>
      <c r="B63">
        <f aca="true" t="shared" si="32" ref="B63:N63">B59*B62</f>
        <v>-113.19599521773434</v>
      </c>
      <c r="C63">
        <f t="shared" si="32"/>
        <v>-112.3865829938656</v>
      </c>
      <c r="D63">
        <f t="shared" si="32"/>
        <v>-42.503305159948695</v>
      </c>
      <c r="E63">
        <f t="shared" si="32"/>
        <v>12.395046001427957</v>
      </c>
      <c r="F63">
        <f t="shared" si="32"/>
        <v>13.81608935510186</v>
      </c>
      <c r="G63">
        <f t="shared" si="32"/>
        <v>14.556860319141938</v>
      </c>
      <c r="H63">
        <f t="shared" si="32"/>
        <v>17.940764247517084</v>
      </c>
      <c r="I63">
        <f t="shared" si="32"/>
        <v>15.422675355746389</v>
      </c>
      <c r="J63">
        <f t="shared" si="32"/>
        <v>13.229502644463178</v>
      </c>
      <c r="K63">
        <f t="shared" si="32"/>
        <v>11.32168816735882</v>
      </c>
      <c r="L63">
        <f t="shared" si="32"/>
        <v>9.664719582924905</v>
      </c>
      <c r="M63">
        <f t="shared" si="32"/>
        <v>8.228334063727335</v>
      </c>
      <c r="N63">
        <f t="shared" si="32"/>
        <v>6.026022125472737</v>
      </c>
    </row>
    <row r="64" spans="1:14" ht="12.75">
      <c r="A64" t="s">
        <v>45</v>
      </c>
      <c r="B64">
        <f aca="true" t="shared" si="33" ref="B64:N64">B60*B62</f>
        <v>-113.19599521773434</v>
      </c>
      <c r="C64">
        <f t="shared" si="33"/>
        <v>-206.71657900864417</v>
      </c>
      <c r="D64">
        <f t="shared" si="33"/>
        <v>-214.76712100048553</v>
      </c>
      <c r="E64">
        <f t="shared" si="33"/>
        <v>-166.57755483230997</v>
      </c>
      <c r="F64">
        <f t="shared" si="33"/>
        <v>-124.99853967182312</v>
      </c>
      <c r="G64">
        <f t="shared" si="33"/>
        <v>-89.60858940737735</v>
      </c>
      <c r="H64">
        <f t="shared" si="33"/>
        <v>-56.7330602586307</v>
      </c>
      <c r="I64">
        <f t="shared" si="33"/>
        <v>-31.854874859779187</v>
      </c>
      <c r="J64">
        <f t="shared" si="33"/>
        <v>-13.316226405352822</v>
      </c>
      <c r="K64">
        <f t="shared" si="33"/>
        <v>0.22483282956480335</v>
      </c>
      <c r="L64">
        <f t="shared" si="33"/>
        <v>9.852080274228907</v>
      </c>
      <c r="M64">
        <f t="shared" si="33"/>
        <v>16.43840095891809</v>
      </c>
      <c r="N64">
        <f t="shared" si="33"/>
        <v>19.724689591237816</v>
      </c>
    </row>
    <row r="65" spans="1:4" ht="12.75">
      <c r="A65" t="s">
        <v>46</v>
      </c>
      <c r="B65">
        <f>B10*B62</f>
        <v>91.28709291752769</v>
      </c>
      <c r="C65">
        <f>C10*C62</f>
        <v>76.07257743127307</v>
      </c>
      <c r="D65">
        <f>D10*D62</f>
        <v>31.69690726303045</v>
      </c>
    </row>
    <row r="66" spans="1:4" ht="12.75">
      <c r="A66" t="s">
        <v>47</v>
      </c>
      <c r="B66">
        <f>B65</f>
        <v>91.28709291752769</v>
      </c>
      <c r="C66">
        <f>B66+C65</f>
        <v>167.35967034880076</v>
      </c>
      <c r="D66">
        <f>C66+D65</f>
        <v>199.05657761183122</v>
      </c>
    </row>
    <row r="67" spans="1:14" ht="12.75">
      <c r="A67" t="s">
        <v>48</v>
      </c>
      <c r="N67">
        <f>N64</f>
        <v>19.724689591237816</v>
      </c>
    </row>
    <row r="68" spans="1:14" ht="12.75">
      <c r="A68" t="s">
        <v>49</v>
      </c>
      <c r="N68">
        <f>N67/D66</f>
        <v>0.09909087068552841</v>
      </c>
    </row>
    <row r="69" spans="1:14" ht="12.75">
      <c r="A69" t="s">
        <v>50</v>
      </c>
      <c r="N69">
        <v>6.129</v>
      </c>
    </row>
    <row r="71" spans="1:14" ht="12.75">
      <c r="A71" t="s">
        <v>43</v>
      </c>
      <c r="B71">
        <f>1/POWER(1.15,0.5)</f>
        <v>0.9325048082403138</v>
      </c>
      <c r="C71">
        <f>1/POWER(1.15,1.5)</f>
        <v>0.8108737462959251</v>
      </c>
      <c r="D71">
        <f>1/POWER(1.15,2.5)</f>
        <v>0.7051076054747175</v>
      </c>
      <c r="E71">
        <f>1/POWER(1.15,3.5)</f>
        <v>0.6131370482388848</v>
      </c>
      <c r="F71">
        <f>1/POWER(1.15,4.5)</f>
        <v>0.5331626506425087</v>
      </c>
      <c r="G71">
        <f>1/POWER(1.15,5.5)</f>
        <v>0.4636196962108771</v>
      </c>
      <c r="H71">
        <f>1/POWER(1.15,6.5)</f>
        <v>0.40314756192250184</v>
      </c>
      <c r="I71">
        <f>1/POWER(1.15,7.5)</f>
        <v>0.35056309732391466</v>
      </c>
      <c r="J71">
        <f>1/POWER(1.15,8.5)</f>
        <v>0.30483747593383886</v>
      </c>
      <c r="K71">
        <f>1/POWER(1.15,9.5)</f>
        <v>0.26507606602942513</v>
      </c>
      <c r="L71">
        <f>1/POWER(1.15,10.5)</f>
        <v>0.23050092698210878</v>
      </c>
      <c r="M71">
        <f>1/POWER(1.15,11.5)</f>
        <v>0.20043558868009465</v>
      </c>
      <c r="N71">
        <f>1/POWER(1.15,12.5)</f>
        <v>0.17429181624356058</v>
      </c>
    </row>
    <row r="72" spans="1:14" ht="12.75">
      <c r="A72" t="s">
        <v>44</v>
      </c>
      <c r="B72">
        <f aca="true" t="shared" si="34" ref="B72:N72">B59*B71</f>
        <v>-115.63059622179891</v>
      </c>
      <c r="C72">
        <f t="shared" si="34"/>
        <v>-119.7952437827748</v>
      </c>
      <c r="D72">
        <f t="shared" si="34"/>
        <v>-47.27496515258969</v>
      </c>
      <c r="E72">
        <f t="shared" si="34"/>
        <v>14.386000227154266</v>
      </c>
      <c r="F72">
        <f t="shared" si="34"/>
        <v>16.732485563610243</v>
      </c>
      <c r="G72">
        <f t="shared" si="34"/>
        <v>18.396128988045575</v>
      </c>
      <c r="H72">
        <f t="shared" si="34"/>
        <v>23.658275038102698</v>
      </c>
      <c r="I72">
        <f t="shared" si="34"/>
        <v>21.221948660885673</v>
      </c>
      <c r="J72">
        <f t="shared" si="34"/>
        <v>18.995575943386566</v>
      </c>
      <c r="K72">
        <f t="shared" si="34"/>
        <v>16.963034409703532</v>
      </c>
      <c r="L72">
        <f t="shared" si="34"/>
        <v>15.110019245419833</v>
      </c>
      <c r="M72">
        <f t="shared" si="34"/>
        <v>13.423664241765193</v>
      </c>
      <c r="N72">
        <f t="shared" si="34"/>
        <v>10.258250335567693</v>
      </c>
    </row>
    <row r="73" spans="1:14" ht="12.75">
      <c r="A73" t="s">
        <v>45</v>
      </c>
      <c r="B73">
        <f aca="true" t="shared" si="35" ref="B73:N73">B60*B71</f>
        <v>-115.63059622179891</v>
      </c>
      <c r="C73">
        <f t="shared" si="35"/>
        <v>-220.3435883234695</v>
      </c>
      <c r="D73">
        <f t="shared" si="35"/>
        <v>-238.8780854338675</v>
      </c>
      <c r="E73">
        <f t="shared" si="35"/>
        <v>-193.3340740631653</v>
      </c>
      <c r="F73">
        <f t="shared" si="35"/>
        <v>-151.38410057827267</v>
      </c>
      <c r="G73">
        <f t="shared" si="35"/>
        <v>-113.24221934088717</v>
      </c>
      <c r="H73">
        <f t="shared" si="35"/>
        <v>-74.81322004092964</v>
      </c>
      <c r="I73">
        <f t="shared" si="35"/>
        <v>-43.8330252877488</v>
      </c>
      <c r="J73">
        <f t="shared" si="35"/>
        <v>-19.12009821987326</v>
      </c>
      <c r="K73">
        <f t="shared" si="35"/>
        <v>0.3368620445963477</v>
      </c>
      <c r="L73">
        <f t="shared" si="35"/>
        <v>15.402942762460137</v>
      </c>
      <c r="M73">
        <f t="shared" si="35"/>
        <v>26.817527513469663</v>
      </c>
      <c r="N73">
        <f t="shared" si="35"/>
        <v>33.57783947771523</v>
      </c>
    </row>
    <row r="74" spans="1:4" ht="12.75">
      <c r="A74" t="s">
        <v>46</v>
      </c>
      <c r="B74">
        <f>B10*B71</f>
        <v>93.25048082403138</v>
      </c>
      <c r="C74">
        <f>C10*C71</f>
        <v>81.08737462959252</v>
      </c>
      <c r="D74">
        <f>D10*D71</f>
        <v>35.255380273735874</v>
      </c>
    </row>
    <row r="75" spans="1:4" ht="12.75">
      <c r="A75" t="s">
        <v>47</v>
      </c>
      <c r="B75">
        <f>B74</f>
        <v>93.25048082403138</v>
      </c>
      <c r="C75">
        <f>B75+C74</f>
        <v>174.3378554536239</v>
      </c>
      <c r="D75">
        <f>C75+D74</f>
        <v>209.59323572735977</v>
      </c>
    </row>
    <row r="76" spans="1:14" ht="12.75">
      <c r="A76" t="s">
        <v>48</v>
      </c>
      <c r="N76">
        <f>N73</f>
        <v>33.57783947771523</v>
      </c>
    </row>
    <row r="77" spans="1:14" ht="12.75">
      <c r="A77" t="s">
        <v>49</v>
      </c>
      <c r="N77">
        <f>N76/D75</f>
        <v>0.16020478600460894</v>
      </c>
    </row>
    <row r="78" ht="12.75">
      <c r="A78" t="s">
        <v>50</v>
      </c>
    </row>
    <row r="80" spans="1:14" ht="12.75">
      <c r="A80" t="s">
        <v>43</v>
      </c>
      <c r="B80">
        <f>1/POWER(1.25,0.5)</f>
        <v>0.8944271909999159</v>
      </c>
      <c r="C80">
        <f>1/POWER(1.25,1.5)</f>
        <v>0.7155417527999327</v>
      </c>
      <c r="D80">
        <f>1/POWER(1.25,2.5)</f>
        <v>0.5724334022399462</v>
      </c>
      <c r="E80">
        <f>1/POWER(1.25,3.5)</f>
        <v>0.4579467217919569</v>
      </c>
      <c r="F80">
        <f>1/POWER(1.25,4.5)</f>
        <v>0.36635737743356556</v>
      </c>
      <c r="G80">
        <f>1/POWER(1.25,5.5)</f>
        <v>0.29308590194685247</v>
      </c>
      <c r="H80">
        <f>1/POWER(1.25,6.5)</f>
        <v>0.2344687215574819</v>
      </c>
      <c r="I80">
        <f>1/POWER(1.25,7.5)</f>
        <v>0.18757497724598554</v>
      </c>
      <c r="J80">
        <f>1/POWER(1.25,8.5)</f>
        <v>0.15005998179678842</v>
      </c>
      <c r="K80">
        <f>1/POWER(1.25,9.5)</f>
        <v>0.12004798543743075</v>
      </c>
      <c r="L80">
        <f>1/POWER(1.25,10.5)</f>
        <v>0.09603838834994462</v>
      </c>
      <c r="M80">
        <f>1/POWER(1.25,11.5)</f>
        <v>0.0768307106799557</v>
      </c>
      <c r="N80">
        <f>1/POWER(1.25,12.5)</f>
        <v>0.06146456854396452</v>
      </c>
    </row>
    <row r="81" spans="1:14" ht="12.75">
      <c r="A81" t="s">
        <v>44</v>
      </c>
      <c r="B81">
        <f aca="true" t="shared" si="36" ref="B81:N81">B59*B80</f>
        <v>-110.90897168398956</v>
      </c>
      <c r="C81">
        <f t="shared" si="36"/>
        <v>-105.71127639165087</v>
      </c>
      <c r="D81">
        <f t="shared" si="36"/>
        <v>-38.37963019112853</v>
      </c>
      <c r="E81">
        <f t="shared" si="36"/>
        <v>10.744778288388273</v>
      </c>
      <c r="F81">
        <f t="shared" si="36"/>
        <v>11.497559931555525</v>
      </c>
      <c r="G81">
        <f t="shared" si="36"/>
        <v>11.629458586115783</v>
      </c>
      <c r="H81">
        <f t="shared" si="36"/>
        <v>13.75954123593476</v>
      </c>
      <c r="I81">
        <f t="shared" si="36"/>
        <v>11.355178475910698</v>
      </c>
      <c r="J81">
        <f t="shared" si="36"/>
        <v>9.350804954515368</v>
      </c>
      <c r="K81">
        <f t="shared" si="36"/>
        <v>7.682240566995119</v>
      </c>
      <c r="L81">
        <f t="shared" si="36"/>
        <v>6.29560112953213</v>
      </c>
      <c r="M81">
        <f t="shared" si="36"/>
        <v>5.14554161970714</v>
      </c>
      <c r="N81">
        <f t="shared" si="36"/>
        <v>3.61760491387927</v>
      </c>
    </row>
    <row r="82" spans="1:14" ht="12.75">
      <c r="A82" t="s">
        <v>45</v>
      </c>
      <c r="B82">
        <f aca="true" t="shared" si="37" ref="B82:N82">B60*B80</f>
        <v>-110.90897168398956</v>
      </c>
      <c r="C82">
        <f t="shared" si="37"/>
        <v>-194.4384537388425</v>
      </c>
      <c r="D82">
        <f t="shared" si="37"/>
        <v>-193.93039318220255</v>
      </c>
      <c r="E82">
        <f t="shared" si="37"/>
        <v>-144.3995362573737</v>
      </c>
      <c r="F82">
        <f t="shared" si="37"/>
        <v>-104.02206907434346</v>
      </c>
      <c r="G82">
        <f t="shared" si="37"/>
        <v>-71.588196673359</v>
      </c>
      <c r="H82">
        <f t="shared" si="37"/>
        <v>-43.51101610275242</v>
      </c>
      <c r="I82">
        <f t="shared" si="37"/>
        <v>-23.45363440629124</v>
      </c>
      <c r="J82">
        <f t="shared" si="37"/>
        <v>-9.412102570517622</v>
      </c>
      <c r="K82">
        <f t="shared" si="37"/>
        <v>0.1525585105810211</v>
      </c>
      <c r="L82">
        <f t="shared" si="37"/>
        <v>6.417647937996947</v>
      </c>
      <c r="M82">
        <f t="shared" si="37"/>
        <v>10.2796599701047</v>
      </c>
      <c r="N82">
        <f t="shared" si="37"/>
        <v>11.841332889963025</v>
      </c>
    </row>
    <row r="83" spans="1:4" ht="12.75">
      <c r="A83" t="s">
        <v>46</v>
      </c>
      <c r="B83">
        <f>B10*B80</f>
        <v>89.44271909999159</v>
      </c>
      <c r="C83">
        <f>C10*C80</f>
        <v>71.55417527999327</v>
      </c>
      <c r="D83">
        <f>D10*D80</f>
        <v>28.62167011199731</v>
      </c>
    </row>
    <row r="84" spans="1:4" ht="12.75">
      <c r="A84" t="s">
        <v>47</v>
      </c>
      <c r="B84">
        <f>B83</f>
        <v>89.44271909999159</v>
      </c>
      <c r="C84">
        <f>B84+C83</f>
        <v>160.99689437998487</v>
      </c>
      <c r="D84">
        <f>C84+D83</f>
        <v>189.61856449198217</v>
      </c>
    </row>
    <row r="85" spans="1:14" ht="12.75">
      <c r="A85" t="s">
        <v>48</v>
      </c>
      <c r="N85">
        <f>N82</f>
        <v>11.841332889963025</v>
      </c>
    </row>
    <row r="86" spans="1:14" ht="12.75">
      <c r="A86" t="s">
        <v>49</v>
      </c>
      <c r="N86">
        <f>N85/D84</f>
        <v>0.06244817284472019</v>
      </c>
    </row>
    <row r="87" ht="12.75">
      <c r="A87" t="s">
        <v>50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Bill</cp:lastModifiedBy>
  <dcterms:created xsi:type="dcterms:W3CDTF">2006-03-28T06:57:26Z</dcterms:created>
  <dcterms:modified xsi:type="dcterms:W3CDTF">2012-02-14T02:24:50Z</dcterms:modified>
  <cp:category/>
  <cp:version/>
  <cp:contentType/>
  <cp:contentStatus/>
</cp:coreProperties>
</file>